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502"/>
  <workbookPr codeName="ThisWorkbook"/>
  <mc:AlternateContent xmlns:mc="http://schemas.openxmlformats.org/markup-compatibility/2006">
    <mc:Choice Requires="x15">
      <x15ac:absPath xmlns:x15ac="http://schemas.microsoft.com/office/spreadsheetml/2010/11/ac" url="/Users/rodriguezle/Desktop/"/>
    </mc:Choice>
  </mc:AlternateContent>
  <bookViews>
    <workbookView xWindow="4200" yWindow="6680" windowWidth="25440" windowHeight="6440" activeTab="3"/>
  </bookViews>
  <sheets>
    <sheet name="Series" sheetId="1" r:id="rId1"/>
    <sheet name="Ring" sheetId="6" r:id="rId2"/>
    <sheet name="wsfuGPM" sheetId="4" state="hidden" r:id="rId3"/>
    <sheet name="Venturi" sheetId="7" r:id="rId4"/>
    <sheet name="EquivLength" sheetId="5" r:id="rId5"/>
  </sheets>
  <definedNames>
    <definedName name="cold">#REF!</definedName>
    <definedName name="pipe">EquivLength!$E$10</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7" i="6" l="1"/>
  <c r="E6" i="6"/>
  <c r="J6" i="1"/>
  <c r="K7" i="1"/>
  <c r="E7" i="1"/>
  <c r="L7" i="1"/>
  <c r="J7" i="1"/>
  <c r="M7" i="1"/>
  <c r="K7" i="6"/>
  <c r="J7" i="6"/>
  <c r="J6" i="6"/>
  <c r="M7" i="6"/>
  <c r="L7" i="6"/>
  <c r="K6" i="6"/>
  <c r="M6" i="6"/>
  <c r="AB8" i="7"/>
  <c r="D4" i="7"/>
  <c r="D12" i="7"/>
  <c r="D13" i="7"/>
  <c r="S13" i="7"/>
  <c r="S4" i="7"/>
  <c r="S8" i="7"/>
  <c r="D16" i="7"/>
  <c r="S16" i="7"/>
  <c r="D15" i="7"/>
  <c r="M15" i="7"/>
  <c r="P11" i="7"/>
  <c r="D11" i="7"/>
  <c r="G11" i="7"/>
  <c r="J11" i="7"/>
  <c r="P9" i="7"/>
  <c r="AD8" i="7"/>
  <c r="J4" i="7"/>
  <c r="J12" i="7"/>
  <c r="J13" i="7"/>
  <c r="AC8" i="7"/>
  <c r="G4" i="7"/>
  <c r="G12" i="7"/>
  <c r="G13" i="7"/>
  <c r="P8" i="7"/>
  <c r="P16" i="7"/>
  <c r="M8" i="7"/>
  <c r="M16" i="7"/>
  <c r="J8" i="7"/>
  <c r="J16" i="7"/>
  <c r="G8" i="7"/>
  <c r="G16" i="7"/>
  <c r="AD7" i="7"/>
  <c r="AC7" i="7"/>
  <c r="AB7" i="7"/>
  <c r="AD6" i="7"/>
  <c r="AC6" i="7"/>
  <c r="AB6" i="7"/>
  <c r="AB5" i="7"/>
  <c r="AB4" i="7"/>
  <c r="AB3" i="7"/>
  <c r="M4" i="7"/>
  <c r="S11" i="7"/>
  <c r="S12" i="7"/>
  <c r="L6" i="6"/>
  <c r="J14" i="7"/>
  <c r="G15" i="7"/>
  <c r="M12" i="7"/>
  <c r="M13" i="7"/>
  <c r="M14" i="7"/>
  <c r="P4" i="7"/>
  <c r="P12" i="7"/>
  <c r="P13" i="7"/>
  <c r="P14" i="7"/>
  <c r="D14" i="7"/>
  <c r="S14" i="7"/>
  <c r="G14" i="7"/>
  <c r="J15" i="7"/>
  <c r="P15" i="7"/>
  <c r="S15" i="7"/>
  <c r="W15" i="7"/>
  <c r="E20" i="5"/>
  <c r="F20" i="5"/>
  <c r="E19" i="5"/>
  <c r="F19" i="5"/>
  <c r="E18" i="5"/>
  <c r="F18" i="5"/>
  <c r="E17" i="5"/>
  <c r="F17" i="5"/>
  <c r="E16" i="5"/>
  <c r="F16" i="5"/>
  <c r="E21" i="5"/>
  <c r="F21" i="5"/>
  <c r="E15" i="5"/>
  <c r="F15" i="5"/>
  <c r="E14" i="5"/>
  <c r="F14" i="5"/>
  <c r="E13" i="5"/>
  <c r="F13" i="5"/>
  <c r="K6" i="1"/>
  <c r="E6" i="1"/>
  <c r="M6" i="1"/>
  <c r="L6" i="1"/>
  <c r="F23" i="5"/>
</calcChain>
</file>

<file path=xl/comments1.xml><?xml version="1.0" encoding="utf-8"?>
<comments xmlns="http://schemas.openxmlformats.org/spreadsheetml/2006/main">
  <authors>
    <author>cusickev</author>
  </authors>
  <commentList>
    <comment ref="M4" authorId="0">
      <text>
        <r>
          <rPr>
            <sz val="9"/>
            <color indexed="81"/>
            <rFont val="Tahoma"/>
            <family val="2"/>
          </rPr>
          <t>Pressure loss from riser, branch, or manifold to most remote fixture.</t>
        </r>
      </text>
    </comment>
    <comment ref="I6" authorId="0">
      <text>
        <r>
          <rPr>
            <sz val="9"/>
            <color indexed="81"/>
            <rFont val="Tahoma"/>
            <family val="2"/>
          </rPr>
          <t>EquivLength tab can be used to total equivalent length of fittings.</t>
        </r>
      </text>
    </comment>
    <comment ref="I7" authorId="0">
      <text>
        <r>
          <rPr>
            <sz val="9"/>
            <color indexed="81"/>
            <rFont val="Tahoma"/>
            <family val="2"/>
          </rPr>
          <t>EquivLength tab can be used to total equivalent length of fittings.</t>
        </r>
      </text>
    </comment>
  </commentList>
</comments>
</file>

<file path=xl/comments2.xml><?xml version="1.0" encoding="utf-8"?>
<comments xmlns="http://schemas.openxmlformats.org/spreadsheetml/2006/main">
  <authors>
    <author>cusickev</author>
  </authors>
  <commentList>
    <comment ref="I6" authorId="0">
      <text>
        <r>
          <rPr>
            <sz val="9"/>
            <color indexed="81"/>
            <rFont val="Tahoma"/>
            <family val="2"/>
          </rPr>
          <t>EquivLength tab can be used to total equivalent length of fittings.</t>
        </r>
      </text>
    </comment>
    <comment ref="I7" authorId="0">
      <text>
        <r>
          <rPr>
            <sz val="9"/>
            <color indexed="81"/>
            <rFont val="Tahoma"/>
            <family val="2"/>
          </rPr>
          <t>EquivLength tab can be used to total equivalent length of fittings.</t>
        </r>
      </text>
    </comment>
  </commentList>
</comments>
</file>

<file path=xl/comments3.xml><?xml version="1.0" encoding="utf-8"?>
<comments xmlns="http://schemas.openxmlformats.org/spreadsheetml/2006/main">
  <authors>
    <author>cusickev</author>
  </authors>
  <commentList>
    <comment ref="D8" authorId="0">
      <text>
        <r>
          <rPr>
            <sz val="9"/>
            <color indexed="81"/>
            <rFont val="Tahoma"/>
            <family val="2"/>
          </rPr>
          <t>1.93 is the density of water at room temperature</t>
        </r>
      </text>
    </comment>
    <comment ref="L9" authorId="0">
      <text>
        <r>
          <rPr>
            <sz val="9"/>
            <color indexed="81"/>
            <rFont val="Tahoma"/>
            <family val="2"/>
          </rPr>
          <t>L is the total developed 
length of the loop from 4 to 5</t>
        </r>
      </text>
    </comment>
  </commentList>
</comments>
</file>

<file path=xl/sharedStrings.xml><?xml version="1.0" encoding="utf-8"?>
<sst xmlns="http://schemas.openxmlformats.org/spreadsheetml/2006/main" count="327" uniqueCount="131">
  <si>
    <t>Nominal</t>
  </si>
  <si>
    <t>actual ID</t>
  </si>
  <si>
    <t>(inches)</t>
  </si>
  <si>
    <t>Size</t>
  </si>
  <si>
    <t>Flow</t>
  </si>
  <si>
    <t>(GPM)</t>
  </si>
  <si>
    <t>velocity</t>
  </si>
  <si>
    <t>(ft/sec)</t>
  </si>
  <si>
    <t>(psi)</t>
  </si>
  <si>
    <t xml:space="preserve">Copper </t>
  </si>
  <si>
    <t>Tube</t>
  </si>
  <si>
    <t>demand</t>
  </si>
  <si>
    <t>Load</t>
  </si>
  <si>
    <t>tank</t>
  </si>
  <si>
    <t>valve</t>
  </si>
  <si>
    <t>note: zero fixtures allows the program to stop at one fixture unit. An input of zero is interpreted the same as blank.</t>
  </si>
  <si>
    <t>90 deg elbow</t>
  </si>
  <si>
    <t>45 deg elbow</t>
  </si>
  <si>
    <t>Tee, branch</t>
  </si>
  <si>
    <t>Tee, run</t>
  </si>
  <si>
    <t>Coupling</t>
  </si>
  <si>
    <t>Ball Valve</t>
  </si>
  <si>
    <t>Gate Valve</t>
  </si>
  <si>
    <t>Butterfly Valve</t>
  </si>
  <si>
    <t>Check Valve</t>
  </si>
  <si>
    <t>This tab contains a stand alone calculator to find equivalent lengths of a combination of fittings.</t>
  </si>
  <si>
    <t xml:space="preserve">    *The calculator on this tab is not linked to any other portion of the program.</t>
  </si>
  <si>
    <t>Select pipe size in upper yellow cell (E10).</t>
  </si>
  <si>
    <t>Enter quantity of each type of fitting used in yellow cells (D13:D21).</t>
  </si>
  <si>
    <t>Column E shows the equivalent length of each type of fitting.</t>
  </si>
  <si>
    <t>Total equivalent length of fittings shown will display in blue at the bottom (F23).</t>
  </si>
  <si>
    <t>pipe size:</t>
  </si>
  <si>
    <t>in</t>
  </si>
  <si>
    <t>Fitting Type</t>
  </si>
  <si>
    <t>qty.</t>
  </si>
  <si>
    <t>equiv length (ft)</t>
  </si>
  <si>
    <t>User Input Cells</t>
  </si>
  <si>
    <t>Calculated Values, Constants</t>
  </si>
  <si>
    <t>Important Values</t>
  </si>
  <si>
    <t>Equivalent length of listed fittings:</t>
  </si>
  <si>
    <t>ft</t>
  </si>
  <si>
    <t>(ft)</t>
  </si>
  <si>
    <t>(in)</t>
  </si>
  <si>
    <t>(qty)</t>
  </si>
  <si>
    <t>Series</t>
  </si>
  <si>
    <t>Nominal Pipe Size</t>
  </si>
  <si>
    <t>Actual ID</t>
  </si>
  <si>
    <t>Pressure loss</t>
  </si>
  <si>
    <t>d2</t>
  </si>
  <si>
    <t>d1*</t>
  </si>
  <si>
    <t>between lavatories</t>
  </si>
  <si>
    <t>Supply to first lavatory</t>
  </si>
  <si>
    <t xml:space="preserve">Ring
</t>
  </si>
  <si>
    <t>If a riser is supplying the series, d1 is the distance to the riser.</t>
  </si>
  <si>
    <t>Total Developed Length</t>
  </si>
  <si>
    <t>If a manifold or branch is supplying the series, d1 is the length of pipe to the manifold or branch.</t>
  </si>
  <si>
    <t>equivalent length of fittings</t>
  </si>
  <si>
    <t>height of lavatory supply</t>
  </si>
  <si>
    <t>h1</t>
  </si>
  <si>
    <t>Point 1</t>
  </si>
  <si>
    <t>Point 2</t>
  </si>
  <si>
    <t>Point 3</t>
  </si>
  <si>
    <t>Point 4</t>
  </si>
  <si>
    <t>Point 5</t>
  </si>
  <si>
    <t>ID</t>
  </si>
  <si>
    <t>Venturi ID</t>
  </si>
  <si>
    <t>Nozzle ID</t>
  </si>
  <si>
    <t>Given</t>
  </si>
  <si>
    <t xml:space="preserve">Q = </t>
  </si>
  <si>
    <t>GPM</t>
  </si>
  <si>
    <t>Volumetric flow rate</t>
  </si>
  <si>
    <t>1/2"</t>
  </si>
  <si>
    <t>Values</t>
  </si>
  <si>
    <t xml:space="preserve">d = </t>
  </si>
  <si>
    <t xml:space="preserve">diameter </t>
  </si>
  <si>
    <t>3/4"</t>
  </si>
  <si>
    <t xml:space="preserve">A = </t>
  </si>
  <si>
    <t>sq in</t>
  </si>
  <si>
    <t>Cross-sectional area</t>
  </si>
  <si>
    <t>1"</t>
  </si>
  <si>
    <t>Main size:</t>
  </si>
  <si>
    <t>2"</t>
  </si>
  <si>
    <t xml:space="preserve">v = </t>
  </si>
  <si>
    <t>ft/sec</t>
  </si>
  <si>
    <t>Fluid velocity</t>
  </si>
  <si>
    <t>1-1/4"</t>
  </si>
  <si>
    <t>Loop size:</t>
  </si>
  <si>
    <t xml:space="preserve">P = </t>
  </si>
  <si>
    <t>psi</t>
  </si>
  <si>
    <t>Pressure</t>
  </si>
  <si>
    <t>1-1/2"</t>
  </si>
  <si>
    <t xml:space="preserve">rho = </t>
  </si>
  <si>
    <t>slug</t>
  </si>
  <si>
    <t>Density</t>
  </si>
  <si>
    <t xml:space="preserve">L = </t>
  </si>
  <si>
    <t xml:space="preserve">Delta P = </t>
  </si>
  <si>
    <t>How the sheet works:</t>
  </si>
  <si>
    <t>Using Pascal's law, the pressure at adjacent points is constant.</t>
  </si>
  <si>
    <t>Points: 1, 2, and 4 are adjacent as are points: 3, 5, and 6</t>
  </si>
  <si>
    <t>At point 2: P2 = P1, Q2 &lt; Q1, A2 ~ A1</t>
  </si>
  <si>
    <t>Due to the conservation of mass, the mass flow rate is constant between 1 and 6, 2 and 3, and 4 and 5</t>
  </si>
  <si>
    <t>From point 2 to 3, mass flow is constant, density is also constant therefore volumetric flow is constant</t>
  </si>
  <si>
    <t>Use Bernoulli's equation to find values at point 3 based on values at point 2</t>
  </si>
  <si>
    <t>(both sides of Bernoulli's are multiplied by rho, to achieve pressure units)</t>
  </si>
  <si>
    <t>use Hazen-Williams to find P5 based on P4</t>
  </si>
  <si>
    <t>If P3 &lt; P5, flow through the loop occurs</t>
  </si>
  <si>
    <t>How to use the sheet:</t>
  </si>
  <si>
    <t>On the "Data" Ribbon, click "What-If-Analysis", on the drop-down, click "Goal Seek"</t>
  </si>
  <si>
    <t>In the pop-up window for goal seek,</t>
  </si>
  <si>
    <t>To value: 0</t>
  </si>
  <si>
    <t>d1 is the length of pipe (horizontal) from larger supply pipe.</t>
  </si>
  <si>
    <t>At point 4: P4 = P1, Q4 = (Q1 - Q2), A4 &lt; A1</t>
  </si>
  <si>
    <t>Gray cells contain formulas, do not change them</t>
  </si>
  <si>
    <t>Set cell: U15</t>
  </si>
  <si>
    <t>By changing cell: N11</t>
  </si>
  <si>
    <t xml:space="preserve">Values are entered for pipe sizes, flow, length, etc.  </t>
  </si>
  <si>
    <t>Enter values in all yellow cells (Q4 should be a small positive number or 0)</t>
  </si>
  <si>
    <t>Water flows along the path of least resistance. This page compares resistance through the Venturi to the resistance through the loop and changes the flow</t>
  </si>
  <si>
    <t>through the loop until the resistance in both paths are the same.</t>
  </si>
  <si>
    <t>Point 6</t>
  </si>
  <si>
    <t>supply to first lavatory</t>
  </si>
  <si>
    <t>distance between lavatories</t>
  </si>
  <si>
    <t>Equivalent length of fittings</t>
  </si>
  <si>
    <t>d1</t>
  </si>
  <si>
    <t>height difference</t>
  </si>
  <si>
    <t>Total Developed Length of Ring</t>
  </si>
  <si>
    <t>example drawn:</t>
  </si>
  <si>
    <t>Pipe Size</t>
  </si>
  <si>
    <t>(nominal)</t>
  </si>
  <si>
    <t>The worst case pressure loss of a ring will be the fixture closest to the center of the total developed length. This sheet will help find the total developed length of the entire ring and calculate the pressure loss of half that distance. This will slightly overestimate the pressure loss.</t>
  </si>
  <si>
    <t>Number
of Lavatories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</si>
</sst>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0"/>
      <color theme="1"/>
      <name val="Arial"/>
      <family val="2"/>
    </font>
    <font>
      <sz val="10"/>
      <name val="Arial"/>
      <family val="2"/>
    </font>
    <font>
      <sz val="8"/>
      <name val="Arial"/>
      <family val="2"/>
    </font>
    <font>
      <sz val="10"/>
      <color indexed="9"/>
      <name val="Arial"/>
      <family val="2"/>
    </font>
    <font>
      <b/>
      <sz val="10"/>
      <name val="Arial"/>
      <family val="2"/>
    </font>
    <font>
      <sz val="10"/>
      <color theme="0"/>
      <name val="Arial"/>
      <family val="2"/>
    </font>
    <font>
      <b/>
      <sz val="14"/>
      <color theme="1"/>
      <name val="Arial"/>
      <family val="2"/>
    </font>
    <font>
      <sz val="9"/>
      <color indexed="81"/>
      <name val="Tahoma"/>
      <family val="2"/>
    </font>
    <font>
      <b/>
      <sz val="10"/>
      <color theme="1"/>
      <name val="Arial"/>
      <family val="2"/>
    </font>
    <font>
      <i/>
      <sz val="10"/>
      <color theme="1"/>
      <name val="Arial"/>
      <family val="2"/>
    </font>
  </fonts>
  <fills count="8">
    <fill>
      <patternFill patternType="none"/>
    </fill>
    <fill>
      <patternFill patternType="gray125"/>
    </fill>
    <fill>
      <patternFill patternType="solid">
        <fgColor indexed="22"/>
        <bgColor indexed="64"/>
      </patternFill>
    </fill>
    <fill>
      <patternFill patternType="solid">
        <fgColor indexed="12"/>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s>
  <borders count="56">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diagonal/>
    </border>
    <border>
      <left/>
      <right/>
      <top style="medium">
        <color auto="1"/>
      </top>
      <bottom/>
      <diagonal/>
    </border>
    <border>
      <left/>
      <right/>
      <top style="medium">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diagonal/>
    </border>
  </borders>
  <cellStyleXfs count="1">
    <xf numFmtId="0" fontId="0" fillId="0" borderId="0"/>
  </cellStyleXfs>
  <cellXfs count="179">
    <xf numFmtId="0" fontId="0" fillId="0" borderId="0" xfId="0"/>
    <xf numFmtId="0" fontId="1" fillId="0" borderId="0" xfId="0" applyFont="1" applyBorder="1"/>
    <xf numFmtId="0" fontId="0" fillId="0" borderId="0" xfId="0" applyAlignment="1">
      <alignment horizontal="center"/>
    </xf>
    <xf numFmtId="12" fontId="0" fillId="0" borderId="0" xfId="0" applyNumberFormat="1"/>
    <xf numFmtId="0" fontId="0" fillId="0" borderId="0" xfId="0" applyFill="1" applyBorder="1"/>
    <xf numFmtId="0" fontId="0" fillId="0" borderId="0" xfId="0" applyBorder="1"/>
    <xf numFmtId="0" fontId="0" fillId="0" borderId="3" xfId="0" applyBorder="1" applyAlignment="1">
      <alignment horizontal="center"/>
    </xf>
    <xf numFmtId="0" fontId="0" fillId="0" borderId="4" xfId="0" applyBorder="1" applyAlignment="1">
      <alignment horizontal="center"/>
    </xf>
    <xf numFmtId="0" fontId="0" fillId="2" borderId="5" xfId="0" applyFill="1" applyBorder="1"/>
    <xf numFmtId="0" fontId="0" fillId="0" borderId="5" xfId="0" applyBorder="1" applyAlignment="1">
      <alignment horizontal="center"/>
    </xf>
    <xf numFmtId="0" fontId="0" fillId="0" borderId="6" xfId="0" applyBorder="1" applyAlignment="1">
      <alignment horizontal="center"/>
    </xf>
    <xf numFmtId="0" fontId="0" fillId="2" borderId="7" xfId="0" applyFill="1" applyBorder="1"/>
    <xf numFmtId="164" fontId="0" fillId="2" borderId="7" xfId="0" applyNumberFormat="1" applyFill="1" applyBorder="1"/>
    <xf numFmtId="164" fontId="0" fillId="2" borderId="9" xfId="0" applyNumberFormat="1" applyFill="1" applyBorder="1"/>
    <xf numFmtId="12" fontId="3" fillId="3" borderId="10" xfId="0" applyNumberFormat="1" applyFont="1" applyFill="1" applyBorder="1" applyAlignment="1">
      <alignment horizontal="center"/>
    </xf>
    <xf numFmtId="12" fontId="3" fillId="3" borderId="7" xfId="0" applyNumberFormat="1" applyFont="1" applyFill="1" applyBorder="1" applyAlignment="1">
      <alignment horizontal="center"/>
    </xf>
    <xf numFmtId="164" fontId="0" fillId="2" borderId="10" xfId="0" applyNumberFormat="1" applyFill="1" applyBorder="1"/>
    <xf numFmtId="164" fontId="0" fillId="2" borderId="5" xfId="0" applyNumberFormat="1" applyFill="1" applyBorder="1"/>
    <xf numFmtId="164" fontId="0" fillId="2" borderId="6" xfId="0" applyNumberFormat="1" applyFill="1" applyBorder="1"/>
    <xf numFmtId="12" fontId="1" fillId="0" borderId="0" xfId="0" applyNumberFormat="1" applyFont="1" applyFill="1" applyBorder="1"/>
    <xf numFmtId="0" fontId="0" fillId="0" borderId="11" xfId="0" applyBorder="1" applyAlignment="1">
      <alignment horizontal="center"/>
    </xf>
    <xf numFmtId="12" fontId="4" fillId="4" borderId="12" xfId="0" applyNumberFormat="1" applyFont="1" applyFill="1" applyBorder="1" applyAlignment="1" applyProtection="1">
      <alignment horizontal="center"/>
      <protection locked="0"/>
    </xf>
    <xf numFmtId="0" fontId="1" fillId="0" borderId="13" xfId="0" applyFont="1" applyFill="1" applyBorder="1"/>
    <xf numFmtId="0" fontId="0" fillId="0" borderId="0" xfId="0" applyFill="1" applyBorder="1" applyAlignment="1">
      <alignment horizontal="center"/>
    </xf>
    <xf numFmtId="0" fontId="0" fillId="2" borderId="17" xfId="0" applyFill="1" applyBorder="1"/>
    <xf numFmtId="0" fontId="0" fillId="2" borderId="18" xfId="0" applyFill="1" applyBorder="1"/>
    <xf numFmtId="0" fontId="0" fillId="0" borderId="21" xfId="0" applyBorder="1"/>
    <xf numFmtId="1" fontId="0" fillId="4" borderId="25" xfId="0" applyNumberFormat="1" applyFill="1" applyBorder="1" applyAlignment="1" applyProtection="1">
      <protection locked="0"/>
    </xf>
    <xf numFmtId="2" fontId="0" fillId="2" borderId="5" xfId="0" applyNumberFormat="1" applyFill="1" applyBorder="1" applyProtection="1"/>
    <xf numFmtId="0" fontId="0" fillId="2" borderId="24" xfId="0" applyFill="1" applyBorder="1"/>
    <xf numFmtId="0" fontId="0" fillId="0" borderId="0" xfId="0" applyFill="1" applyBorder="1" applyAlignment="1">
      <alignment wrapText="1"/>
    </xf>
    <xf numFmtId="0" fontId="0" fillId="6" borderId="10" xfId="0" applyFill="1" applyBorder="1"/>
    <xf numFmtId="0" fontId="0" fillId="0" borderId="30" xfId="0" applyBorder="1"/>
    <xf numFmtId="0" fontId="0" fillId="0" borderId="32" xfId="0" applyBorder="1"/>
    <xf numFmtId="0" fontId="0" fillId="0" borderId="31" xfId="0" applyBorder="1"/>
    <xf numFmtId="0" fontId="0" fillId="2" borderId="33" xfId="0" applyFill="1" applyBorder="1" applyAlignment="1">
      <alignment wrapText="1"/>
    </xf>
    <xf numFmtId="0" fontId="0" fillId="2" borderId="22" xfId="0" applyFill="1" applyBorder="1"/>
    <xf numFmtId="0" fontId="0" fillId="0" borderId="0" xfId="0" applyAlignment="1">
      <alignment horizontal="center" vertical="top" wrapText="1"/>
    </xf>
    <xf numFmtId="12" fontId="1" fillId="0" borderId="0" xfId="0" applyNumberFormat="1" applyFont="1" applyBorder="1" applyAlignment="1">
      <alignment horizontal="center" vertical="top" wrapText="1"/>
    </xf>
    <xf numFmtId="0" fontId="1" fillId="0" borderId="0" xfId="0" applyFont="1" applyBorder="1" applyAlignment="1">
      <alignment horizontal="center" vertical="top" wrapText="1"/>
    </xf>
    <xf numFmtId="0" fontId="0" fillId="0" borderId="0" xfId="0" applyAlignment="1">
      <alignment horizontal="center" vertical="top"/>
    </xf>
    <xf numFmtId="12" fontId="1" fillId="0" borderId="0" xfId="0" applyNumberFormat="1" applyFont="1" applyBorder="1" applyAlignment="1">
      <alignment horizontal="center" vertical="top"/>
    </xf>
    <xf numFmtId="0" fontId="1" fillId="0" borderId="0" xfId="0" applyNumberFormat="1" applyFont="1" applyBorder="1" applyAlignment="1">
      <alignment horizontal="center" vertical="top"/>
    </xf>
    <xf numFmtId="0" fontId="5" fillId="0" borderId="0" xfId="0" applyFont="1" applyAlignment="1">
      <alignment horizontal="right"/>
    </xf>
    <xf numFmtId="0" fontId="5" fillId="0" borderId="0" xfId="0" applyFont="1"/>
    <xf numFmtId="12" fontId="5" fillId="0" borderId="0" xfId="0" applyNumberFormat="1" applyFont="1" applyBorder="1" applyAlignment="1">
      <alignment horizontal="center"/>
    </xf>
    <xf numFmtId="0" fontId="5" fillId="0" borderId="0" xfId="0" applyFont="1" applyBorder="1" applyAlignment="1">
      <alignment horizontal="center"/>
    </xf>
    <xf numFmtId="0" fontId="5" fillId="0" borderId="0" xfId="0" applyFont="1" applyBorder="1"/>
    <xf numFmtId="0" fontId="0" fillId="0" borderId="0" xfId="0" applyFill="1"/>
    <xf numFmtId="12" fontId="0" fillId="0" borderId="0" xfId="0" applyNumberFormat="1" applyFill="1"/>
    <xf numFmtId="0" fontId="0" fillId="0" borderId="0" xfId="0" applyFill="1" applyAlignment="1">
      <alignment wrapText="1"/>
    </xf>
    <xf numFmtId="0" fontId="6" fillId="0" borderId="0" xfId="0" applyFont="1" applyAlignment="1">
      <alignment horizontal="center" vertical="top" wrapText="1"/>
    </xf>
    <xf numFmtId="0" fontId="0" fillId="0" borderId="0" xfId="0" applyAlignment="1">
      <alignment horizontal="left" vertical="top"/>
    </xf>
    <xf numFmtId="0" fontId="0" fillId="0" borderId="0" xfId="0" applyBorder="1" applyAlignment="1">
      <alignment horizontal="right"/>
    </xf>
    <xf numFmtId="0" fontId="0" fillId="0" borderId="0" xfId="0" applyFill="1" applyAlignment="1">
      <alignment horizontal="right"/>
    </xf>
    <xf numFmtId="0" fontId="9" fillId="0" borderId="0" xfId="0" applyFont="1" applyFill="1"/>
    <xf numFmtId="0" fontId="0" fillId="0" borderId="0" xfId="0" applyFill="1" applyBorder="1" applyAlignment="1">
      <alignment horizontal="right"/>
    </xf>
    <xf numFmtId="0" fontId="8" fillId="0" borderId="0" xfId="0" applyFont="1"/>
    <xf numFmtId="0" fontId="0" fillId="5" borderId="10" xfId="0" applyFill="1" applyBorder="1" applyProtection="1">
      <protection locked="0"/>
    </xf>
    <xf numFmtId="0" fontId="0" fillId="2" borderId="35" xfId="0" applyFill="1" applyBorder="1"/>
    <xf numFmtId="0" fontId="0" fillId="0" borderId="0" xfId="0" applyBorder="1" applyAlignment="1">
      <alignment horizontal="center" vertical="top" wrapText="1"/>
    </xf>
    <xf numFmtId="0" fontId="0" fillId="0" borderId="22" xfId="0" applyBorder="1"/>
    <xf numFmtId="0" fontId="0" fillId="0" borderId="27" xfId="0" applyBorder="1" applyAlignment="1">
      <alignment horizontal="center" vertical="top" wrapText="1"/>
    </xf>
    <xf numFmtId="0" fontId="0" fillId="0" borderId="27" xfId="0" applyBorder="1" applyAlignment="1">
      <alignment horizontal="center" vertical="top"/>
    </xf>
    <xf numFmtId="0" fontId="0" fillId="0" borderId="27" xfId="0" applyBorder="1"/>
    <xf numFmtId="0" fontId="0" fillId="6" borderId="36" xfId="0" applyFill="1" applyBorder="1"/>
    <xf numFmtId="0" fontId="0" fillId="0" borderId="22" xfId="0" applyBorder="1" applyAlignment="1">
      <alignment wrapText="1"/>
    </xf>
    <xf numFmtId="0" fontId="0" fillId="0" borderId="37" xfId="0" applyBorder="1" applyAlignment="1">
      <alignment horizontal="center"/>
    </xf>
    <xf numFmtId="0" fontId="0" fillId="0" borderId="22" xfId="0" applyFill="1" applyBorder="1"/>
    <xf numFmtId="12" fontId="0" fillId="0" borderId="20" xfId="0" applyNumberFormat="1" applyBorder="1"/>
    <xf numFmtId="0" fontId="0" fillId="0" borderId="10" xfId="0" applyBorder="1" applyAlignment="1">
      <alignment horizontal="right"/>
    </xf>
    <xf numFmtId="0" fontId="9" fillId="0" borderId="10" xfId="0" applyFont="1" applyBorder="1"/>
    <xf numFmtId="0" fontId="0" fillId="0" borderId="10" xfId="0" applyFill="1" applyBorder="1"/>
    <xf numFmtId="0" fontId="0" fillId="0" borderId="16" xfId="0" applyBorder="1" applyAlignment="1">
      <alignment horizontal="right"/>
    </xf>
    <xf numFmtId="0" fontId="0" fillId="5" borderId="40" xfId="0" applyFill="1" applyBorder="1" applyProtection="1">
      <protection locked="0"/>
    </xf>
    <xf numFmtId="0" fontId="9" fillId="0" borderId="40" xfId="0" applyFont="1" applyBorder="1"/>
    <xf numFmtId="0" fontId="0" fillId="0" borderId="40" xfId="0" applyBorder="1" applyAlignment="1">
      <alignment horizontal="right"/>
    </xf>
    <xf numFmtId="0" fontId="0" fillId="0" borderId="40" xfId="0" applyFill="1" applyBorder="1"/>
    <xf numFmtId="0" fontId="0" fillId="0" borderId="41" xfId="0" applyBorder="1" applyAlignment="1">
      <alignment horizontal="right"/>
    </xf>
    <xf numFmtId="0" fontId="0" fillId="0" borderId="33" xfId="0" applyBorder="1" applyAlignment="1">
      <alignment horizontal="right"/>
    </xf>
    <xf numFmtId="0" fontId="9" fillId="0" borderId="36" xfId="0" applyFont="1" applyBorder="1"/>
    <xf numFmtId="0" fontId="0" fillId="0" borderId="36" xfId="0" applyBorder="1" applyAlignment="1">
      <alignment horizontal="right"/>
    </xf>
    <xf numFmtId="0" fontId="0" fillId="5" borderId="38" xfId="0" applyFill="1" applyBorder="1" applyProtection="1">
      <protection locked="0"/>
    </xf>
    <xf numFmtId="0" fontId="0" fillId="6" borderId="38" xfId="0" applyFill="1" applyBorder="1"/>
    <xf numFmtId="0" fontId="0" fillId="6" borderId="40" xfId="0" applyFill="1" applyBorder="1"/>
    <xf numFmtId="0" fontId="8" fillId="0" borderId="0" xfId="0" applyFont="1" applyFill="1" applyBorder="1" applyAlignment="1"/>
    <xf numFmtId="0" fontId="0" fillId="5" borderId="36" xfId="0" applyFill="1" applyBorder="1"/>
    <xf numFmtId="0" fontId="0" fillId="0" borderId="2" xfId="0" applyBorder="1" applyAlignment="1">
      <alignment horizontal="right"/>
    </xf>
    <xf numFmtId="0" fontId="0" fillId="6" borderId="42" xfId="0" applyFill="1" applyBorder="1"/>
    <xf numFmtId="0" fontId="0" fillId="0" borderId="43" xfId="0" applyBorder="1" applyAlignment="1">
      <alignment horizontal="right"/>
    </xf>
    <xf numFmtId="0" fontId="9" fillId="0" borderId="43" xfId="0" applyFont="1" applyBorder="1"/>
    <xf numFmtId="0" fontId="0" fillId="0" borderId="44" xfId="0" applyBorder="1"/>
    <xf numFmtId="0" fontId="1" fillId="0" borderId="0" xfId="0" applyFont="1"/>
    <xf numFmtId="0" fontId="1" fillId="0" borderId="0" xfId="0" applyFont="1" applyFill="1"/>
    <xf numFmtId="0" fontId="4" fillId="0" borderId="0" xfId="0" applyFont="1" applyFill="1"/>
    <xf numFmtId="0" fontId="1" fillId="0" borderId="0" xfId="0" applyFont="1" applyAlignment="1">
      <alignment horizontal="right"/>
    </xf>
    <xf numFmtId="12" fontId="1" fillId="0" borderId="0" xfId="0" applyNumberFormat="1" applyFont="1" applyBorder="1" applyAlignment="1">
      <alignment horizontal="center"/>
    </xf>
    <xf numFmtId="0" fontId="1" fillId="0" borderId="0" xfId="0" applyFont="1" applyBorder="1" applyAlignment="1">
      <alignment horizontal="center"/>
    </xf>
    <xf numFmtId="0" fontId="0" fillId="6" borderId="5" xfId="0" applyFill="1" applyBorder="1"/>
    <xf numFmtId="0" fontId="0" fillId="6" borderId="5" xfId="0" applyNumberFormat="1" applyFill="1" applyBorder="1"/>
    <xf numFmtId="0" fontId="0" fillId="5" borderId="21" xfId="0" applyFill="1" applyBorder="1" applyProtection="1">
      <protection locked="0"/>
    </xf>
    <xf numFmtId="12" fontId="1" fillId="5" borderId="46" xfId="0" applyNumberFormat="1" applyFont="1" applyFill="1" applyBorder="1" applyAlignment="1" applyProtection="1">
      <protection locked="0"/>
    </xf>
    <xf numFmtId="0" fontId="0" fillId="6" borderId="46" xfId="0" applyFill="1" applyBorder="1"/>
    <xf numFmtId="0" fontId="0" fillId="5" borderId="46" xfId="0" applyFill="1" applyBorder="1" applyProtection="1">
      <protection locked="0"/>
    </xf>
    <xf numFmtId="0" fontId="0" fillId="5" borderId="46" xfId="0" applyNumberFormat="1" applyFill="1" applyBorder="1" applyProtection="1">
      <protection locked="0"/>
    </xf>
    <xf numFmtId="0" fontId="0" fillId="0" borderId="9" xfId="0" applyBorder="1" applyAlignment="1">
      <alignment horizontal="center" vertical="top" wrapText="1"/>
    </xf>
    <xf numFmtId="0" fontId="0" fillId="0" borderId="7" xfId="0" applyBorder="1" applyAlignment="1">
      <alignment horizontal="center" vertical="top" wrapText="1"/>
    </xf>
    <xf numFmtId="12" fontId="0" fillId="0" borderId="8" xfId="0" applyNumberFormat="1" applyBorder="1" applyAlignment="1">
      <alignment horizontal="center" vertical="top" wrapText="1"/>
    </xf>
    <xf numFmtId="0" fontId="0" fillId="0" borderId="3" xfId="0" applyBorder="1" applyAlignment="1">
      <alignment horizontal="center" vertical="top" wrapText="1"/>
    </xf>
    <xf numFmtId="12" fontId="0" fillId="0" borderId="3" xfId="0" applyNumberFormat="1" applyBorder="1" applyAlignment="1">
      <alignment horizontal="center" vertical="top" wrapText="1"/>
    </xf>
    <xf numFmtId="12" fontId="0" fillId="0" borderId="9" xfId="0" applyNumberFormat="1" applyBorder="1" applyAlignment="1">
      <alignment horizontal="center" vertical="top" wrapText="1"/>
    </xf>
    <xf numFmtId="12" fontId="0" fillId="0" borderId="7" xfId="0" applyNumberFormat="1" applyBorder="1" applyAlignment="1">
      <alignment horizontal="center" vertical="top" wrapText="1"/>
    </xf>
    <xf numFmtId="0" fontId="0" fillId="0" borderId="7" xfId="0" applyBorder="1" applyAlignment="1">
      <alignment horizontal="center" vertical="top"/>
    </xf>
    <xf numFmtId="0" fontId="0" fillId="0" borderId="47" xfId="0" applyBorder="1" applyAlignment="1">
      <alignment horizontal="center" vertical="top" wrapText="1"/>
    </xf>
    <xf numFmtId="0" fontId="0" fillId="0" borderId="11" xfId="0" applyBorder="1" applyAlignment="1">
      <alignment horizontal="center" vertical="top"/>
    </xf>
    <xf numFmtId="0" fontId="0" fillId="0" borderId="12" xfId="0" applyBorder="1" applyAlignment="1">
      <alignment horizontal="center" vertical="top"/>
    </xf>
    <xf numFmtId="12" fontId="0" fillId="0" borderId="12" xfId="0" applyNumberFormat="1" applyBorder="1" applyAlignment="1">
      <alignment horizontal="center" vertical="top"/>
    </xf>
    <xf numFmtId="0" fontId="0" fillId="0" borderId="39" xfId="0" applyBorder="1" applyAlignment="1">
      <alignment horizontal="center" vertical="top"/>
    </xf>
    <xf numFmtId="0" fontId="0" fillId="5" borderId="45" xfId="0" applyFill="1" applyBorder="1"/>
    <xf numFmtId="0" fontId="0" fillId="6" borderId="48" xfId="0" applyFill="1" applyBorder="1"/>
    <xf numFmtId="0" fontId="0" fillId="6" borderId="16" xfId="0" applyFill="1" applyBorder="1" applyProtection="1"/>
    <xf numFmtId="12" fontId="1" fillId="6" borderId="40" xfId="0" applyNumberFormat="1" applyFont="1" applyFill="1" applyBorder="1" applyAlignment="1" applyProtection="1"/>
    <xf numFmtId="0" fontId="0" fillId="6" borderId="40" xfId="0" applyFill="1" applyBorder="1" applyProtection="1"/>
    <xf numFmtId="0" fontId="0" fillId="6" borderId="40" xfId="0" applyNumberFormat="1" applyFill="1" applyBorder="1" applyProtection="1"/>
    <xf numFmtId="0" fontId="0" fillId="5" borderId="33" xfId="0" applyFill="1" applyBorder="1" applyProtection="1">
      <protection locked="0"/>
    </xf>
    <xf numFmtId="12" fontId="1" fillId="5" borderId="36" xfId="0" applyNumberFormat="1" applyFont="1" applyFill="1" applyBorder="1" applyAlignment="1" applyProtection="1">
      <protection locked="0"/>
    </xf>
    <xf numFmtId="0" fontId="0" fillId="5" borderId="36" xfId="0" applyFill="1" applyBorder="1" applyProtection="1">
      <protection locked="0"/>
    </xf>
    <xf numFmtId="0" fontId="0" fillId="5" borderId="36" xfId="0" applyNumberFormat="1" applyFill="1" applyBorder="1" applyProtection="1">
      <protection locked="0"/>
    </xf>
    <xf numFmtId="0" fontId="0" fillId="6" borderId="36" xfId="0" applyNumberFormat="1" applyFill="1" applyBorder="1"/>
    <xf numFmtId="0" fontId="0" fillId="0" borderId="50" xfId="0" applyBorder="1" applyAlignment="1">
      <alignment horizontal="center" vertical="top" wrapText="1"/>
    </xf>
    <xf numFmtId="0" fontId="0" fillId="0" borderId="42" xfId="0" applyBorder="1" applyAlignment="1">
      <alignment horizontal="center" vertical="top" wrapText="1"/>
    </xf>
    <xf numFmtId="12" fontId="0" fillId="0" borderId="42" xfId="0" applyNumberFormat="1" applyBorder="1" applyAlignment="1">
      <alignment horizontal="center" vertical="top" wrapText="1"/>
    </xf>
    <xf numFmtId="0" fontId="0" fillId="0" borderId="42" xfId="0" applyBorder="1" applyAlignment="1">
      <alignment horizontal="center" vertical="top"/>
    </xf>
    <xf numFmtId="0" fontId="0" fillId="0" borderId="51" xfId="0" applyBorder="1" applyAlignment="1">
      <alignment horizontal="center" vertical="top" wrapText="1"/>
    </xf>
    <xf numFmtId="0" fontId="0" fillId="6" borderId="25" xfId="0" applyFill="1" applyBorder="1"/>
    <xf numFmtId="12" fontId="1" fillId="6" borderId="5" xfId="0" applyNumberFormat="1" applyFont="1" applyFill="1" applyBorder="1" applyAlignment="1"/>
    <xf numFmtId="0" fontId="0" fillId="0" borderId="12" xfId="0" applyBorder="1" applyAlignment="1">
      <alignment horizontal="center"/>
    </xf>
    <xf numFmtId="0" fontId="0" fillId="0" borderId="39" xfId="0" applyBorder="1" applyAlignment="1">
      <alignment horizontal="center"/>
    </xf>
    <xf numFmtId="0" fontId="6" fillId="0" borderId="0" xfId="0" applyFont="1" applyFill="1" applyAlignment="1">
      <alignment horizontal="center" vertical="top" wrapText="1"/>
    </xf>
    <xf numFmtId="0" fontId="0" fillId="5" borderId="45" xfId="0" applyFill="1" applyBorder="1" applyProtection="1">
      <protection locked="0"/>
    </xf>
    <xf numFmtId="0" fontId="0" fillId="5" borderId="52" xfId="0" applyFill="1" applyBorder="1" applyProtection="1">
      <protection locked="0"/>
    </xf>
    <xf numFmtId="0" fontId="0" fillId="0" borderId="53" xfId="0" applyBorder="1" applyAlignment="1">
      <alignment horizontal="right"/>
    </xf>
    <xf numFmtId="0" fontId="0" fillId="0" borderId="54" xfId="0" applyBorder="1" applyAlignment="1">
      <alignment horizontal="right"/>
    </xf>
    <xf numFmtId="0" fontId="0" fillId="5" borderId="55" xfId="0" applyFill="1" applyBorder="1"/>
    <xf numFmtId="0" fontId="0" fillId="7" borderId="49" xfId="0" applyFill="1" applyBorder="1"/>
    <xf numFmtId="0" fontId="0" fillId="7" borderId="37" xfId="0" applyFill="1" applyBorder="1"/>
    <xf numFmtId="0" fontId="0" fillId="7" borderId="34" xfId="0" applyFill="1" applyBorder="1"/>
    <xf numFmtId="0" fontId="0" fillId="7" borderId="18" xfId="0" applyFill="1" applyBorder="1"/>
    <xf numFmtId="0" fontId="0" fillId="7" borderId="20" xfId="0" applyFill="1" applyBorder="1"/>
    <xf numFmtId="0" fontId="0" fillId="7" borderId="38" xfId="0" applyFill="1" applyBorder="1"/>
    <xf numFmtId="0" fontId="0" fillId="7" borderId="34" xfId="0" applyFill="1" applyBorder="1" applyProtection="1"/>
    <xf numFmtId="0" fontId="0" fillId="7" borderId="40" xfId="0" applyFill="1" applyBorder="1" applyProtection="1">
      <protection locked="0"/>
    </xf>
    <xf numFmtId="0" fontId="1" fillId="0" borderId="0" xfId="0" applyFont="1" applyFill="1" applyAlignment="1">
      <alignment vertical="top" wrapText="1"/>
    </xf>
    <xf numFmtId="0" fontId="0" fillId="0" borderId="10" xfId="0" applyBorder="1" applyAlignment="1"/>
    <xf numFmtId="0" fontId="0" fillId="0" borderId="1" xfId="0" applyBorder="1" applyAlignment="1">
      <alignment horizontal="center"/>
    </xf>
    <xf numFmtId="0" fontId="0" fillId="0" borderId="2" xfId="0" applyBorder="1" applyAlignment="1">
      <alignment horizontal="center"/>
    </xf>
    <xf numFmtId="0" fontId="2" fillId="0" borderId="8" xfId="0" applyFont="1" applyBorder="1" applyAlignment="1">
      <alignment horizontal="center" wrapText="1"/>
    </xf>
    <xf numFmtId="0" fontId="2" fillId="0" borderId="0" xfId="0" applyFont="1" applyBorder="1" applyAlignment="1">
      <alignment horizontal="center" wrapText="1"/>
    </xf>
    <xf numFmtId="16" fontId="0" fillId="0" borderId="10" xfId="0" applyNumberFormat="1" applyBorder="1" applyAlignment="1"/>
    <xf numFmtId="0" fontId="8" fillId="5" borderId="0" xfId="0" applyFont="1" applyFill="1" applyBorder="1" applyAlignment="1"/>
    <xf numFmtId="0" fontId="0" fillId="0" borderId="28" xfId="0" applyBorder="1" applyAlignment="1">
      <alignment wrapText="1"/>
    </xf>
    <xf numFmtId="0" fontId="0" fillId="0" borderId="29"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14" xfId="0" applyBorder="1" applyAlignment="1">
      <alignment vertical="center"/>
    </xf>
    <xf numFmtId="0" fontId="0" fillId="0" borderId="15"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2" xfId="0" applyBorder="1" applyAlignment="1">
      <alignment horizontal="center"/>
    </xf>
    <xf numFmtId="0" fontId="0" fillId="0" borderId="20" xfId="0" applyBorder="1" applyAlignment="1">
      <alignment horizontal="center"/>
    </xf>
    <xf numFmtId="16" fontId="0" fillId="0" borderId="23" xfId="0" applyNumberFormat="1" applyBorder="1" applyAlignment="1"/>
    <xf numFmtId="0" fontId="0" fillId="0" borderId="24" xfId="0" applyBorder="1" applyAlignment="1"/>
    <xf numFmtId="0" fontId="0" fillId="0" borderId="26" xfId="0" applyBorder="1" applyAlignment="1"/>
    <xf numFmtId="0" fontId="0" fillId="0" borderId="27" xfId="0" applyBorder="1" applyAlignment="1"/>
    <xf numFmtId="0" fontId="0" fillId="0" borderId="28" xfId="0" applyBorder="1" applyAlignment="1"/>
    <xf numFmtId="0" fontId="0" fillId="0" borderId="29" xfId="0" applyBorder="1" applyAlignment="1"/>
    <xf numFmtId="0" fontId="0" fillId="0" borderId="30" xfId="0" applyBorder="1" applyAlignment="1"/>
    <xf numFmtId="0" fontId="0" fillId="0" borderId="31" xfId="0" applyBorder="1" applyAlignment="1"/>
    <xf numFmtId="0" fontId="0" fillId="0" borderId="23" xfId="0" applyBorder="1" applyAlignment="1"/>
  </cellXfs>
  <cellStyles count="1">
    <cellStyle name="Normal" xfId="0" builtinId="0"/>
  </cellStyles>
  <dxfs count="2">
    <dxf>
      <font>
        <condense val="0"/>
        <extend val="0"/>
        <color indexed="22"/>
      </font>
      <fill>
        <patternFill>
          <bgColor indexed="22"/>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 Id="rId2" Type="http://schemas.openxmlformats.org/officeDocument/2006/relationships/image" Target="../media/image5.png"/><Relationship Id="rId3"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 Id="rId2" Type="http://schemas.openxmlformats.org/officeDocument/2006/relationships/image" Target="../media/image7.png"/><Relationship Id="rId3"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13</xdr:row>
      <xdr:rowOff>0</xdr:rowOff>
    </xdr:from>
    <xdr:to>
      <xdr:col>20</xdr:col>
      <xdr:colOff>476249</xdr:colOff>
      <xdr:row>28</xdr:row>
      <xdr:rowOff>95251</xdr:rowOff>
    </xdr:to>
    <xdr:pic>
      <xdr:nvPicPr>
        <xdr:cNvPr id="2"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7315200" y="2724150"/>
          <a:ext cx="5353050" cy="2524125"/>
        </a:xfrm>
        <a:prstGeom prst="rect">
          <a:avLst/>
        </a:prstGeom>
        <a:noFill/>
        <a:ln w="1">
          <a:solidFill>
            <a:schemeClr val="tx2"/>
          </a:solidFill>
          <a:miter lim="800000"/>
          <a:headEnd/>
          <a:tailEnd type="none" w="med" len="med"/>
        </a:ln>
        <a:effectLst/>
      </xdr:spPr>
    </xdr:pic>
    <xdr:clientData/>
  </xdr:twoCellAnchor>
  <xdr:twoCellAnchor editAs="oneCell">
    <xdr:from>
      <xdr:col>2</xdr:col>
      <xdr:colOff>0</xdr:colOff>
      <xdr:row>13</xdr:row>
      <xdr:rowOff>0</xdr:rowOff>
    </xdr:from>
    <xdr:to>
      <xdr:col>10</xdr:col>
      <xdr:colOff>430696</xdr:colOff>
      <xdr:row>28</xdr:row>
      <xdr:rowOff>43484</xdr:rowOff>
    </xdr:to>
    <xdr:pic>
      <xdr:nvPicPr>
        <xdr:cNvPr id="5" name="Picture 6"/>
        <xdr:cNvPicPr>
          <a:picLocks noChangeAspect="1" noChangeArrowheads="1"/>
        </xdr:cNvPicPr>
      </xdr:nvPicPr>
      <xdr:blipFill>
        <a:blip xmlns:r="http://schemas.openxmlformats.org/officeDocument/2006/relationships" r:embed="rId2" cstate="print"/>
        <a:srcRect t="3783" r="1085"/>
        <a:stretch>
          <a:fillRect/>
        </a:stretch>
      </xdr:blipFill>
      <xdr:spPr bwMode="auto">
        <a:xfrm>
          <a:off x="1225826" y="2766391"/>
          <a:ext cx="5358848" cy="2528266"/>
        </a:xfrm>
        <a:prstGeom prst="rect">
          <a:avLst/>
        </a:prstGeom>
        <a:noFill/>
        <a:ln w="1">
          <a:solidFill>
            <a:schemeClr val="tx2"/>
          </a:solidFill>
          <a:miter lim="800000"/>
          <a:headEnd/>
          <a:tailEnd type="none" w="med" len="med"/>
        </a:ln>
        <a:effectLst/>
      </xdr:spPr>
    </xdr:pic>
    <xdr:clientData/>
  </xdr:twoCellAnchor>
  <xdr:twoCellAnchor editAs="oneCell">
    <xdr:from>
      <xdr:col>16</xdr:col>
      <xdr:colOff>0</xdr:colOff>
      <xdr:row>2</xdr:row>
      <xdr:rowOff>0</xdr:rowOff>
    </xdr:from>
    <xdr:to>
      <xdr:col>17</xdr:col>
      <xdr:colOff>396737</xdr:colOff>
      <xdr:row>5</xdr:row>
      <xdr:rowOff>12424</xdr:rowOff>
    </xdr:to>
    <xdr:pic>
      <xdr:nvPicPr>
        <xdr:cNvPr id="4" name="Picture 12" descr="logo"/>
        <xdr:cNvPicPr>
          <a:picLocks noChangeAspect="1" noChangeArrowheads="1"/>
        </xdr:cNvPicPr>
      </xdr:nvPicPr>
      <xdr:blipFill>
        <a:blip xmlns:r="http://schemas.openxmlformats.org/officeDocument/2006/relationships" r:embed="rId3" cstate="print"/>
        <a:srcRect/>
        <a:stretch>
          <a:fillRect/>
        </a:stretch>
      </xdr:blipFill>
      <xdr:spPr bwMode="auto">
        <a:xfrm>
          <a:off x="9831457" y="629478"/>
          <a:ext cx="1009650" cy="8572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9</xdr:col>
      <xdr:colOff>627407</xdr:colOff>
      <xdr:row>28</xdr:row>
      <xdr:rowOff>76200</xdr:rowOff>
    </xdr:to>
    <xdr:pic>
      <xdr:nvPicPr>
        <xdr:cNvPr id="6" name="Picture 13"/>
        <xdr:cNvPicPr>
          <a:picLocks noChangeAspect="1" noChangeArrowheads="1"/>
        </xdr:cNvPicPr>
      </xdr:nvPicPr>
      <xdr:blipFill>
        <a:blip xmlns:r="http://schemas.openxmlformats.org/officeDocument/2006/relationships" r:embed="rId1" cstate="print"/>
        <a:srcRect/>
        <a:stretch>
          <a:fillRect/>
        </a:stretch>
      </xdr:blipFill>
      <xdr:spPr bwMode="auto">
        <a:xfrm>
          <a:off x="612913" y="2816087"/>
          <a:ext cx="5563842" cy="2560983"/>
        </a:xfrm>
        <a:prstGeom prst="rect">
          <a:avLst/>
        </a:prstGeom>
        <a:noFill/>
        <a:ln w="1">
          <a:solidFill>
            <a:schemeClr val="tx2"/>
          </a:solidFill>
          <a:miter lim="800000"/>
          <a:headEnd/>
          <a:tailEnd type="none" w="med" len="med"/>
        </a:ln>
        <a:effectLst/>
      </xdr:spPr>
    </xdr:pic>
    <xdr:clientData/>
  </xdr:twoCellAnchor>
  <xdr:twoCellAnchor editAs="oneCell">
    <xdr:from>
      <xdr:col>11</xdr:col>
      <xdr:colOff>0</xdr:colOff>
      <xdr:row>13</xdr:row>
      <xdr:rowOff>0</xdr:rowOff>
    </xdr:from>
    <xdr:to>
      <xdr:col>19</xdr:col>
      <xdr:colOff>552451</xdr:colOff>
      <xdr:row>28</xdr:row>
      <xdr:rowOff>114300</xdr:rowOff>
    </xdr:to>
    <xdr:pic>
      <xdr:nvPicPr>
        <xdr:cNvPr id="7" name="Picture 16"/>
        <xdr:cNvPicPr>
          <a:picLocks noChangeAspect="1" noChangeArrowheads="1"/>
        </xdr:cNvPicPr>
      </xdr:nvPicPr>
      <xdr:blipFill>
        <a:blip xmlns:r="http://schemas.openxmlformats.org/officeDocument/2006/relationships" r:embed="rId2" cstate="print"/>
        <a:srcRect/>
        <a:stretch>
          <a:fillRect/>
        </a:stretch>
      </xdr:blipFill>
      <xdr:spPr bwMode="auto">
        <a:xfrm>
          <a:off x="6998804" y="2816087"/>
          <a:ext cx="5455755" cy="2599083"/>
        </a:xfrm>
        <a:prstGeom prst="rect">
          <a:avLst/>
        </a:prstGeom>
        <a:noFill/>
        <a:ln w="1">
          <a:solidFill>
            <a:schemeClr val="accent1"/>
          </a:solidFill>
          <a:miter lim="800000"/>
          <a:headEnd/>
          <a:tailEnd type="none" w="med" len="med"/>
        </a:ln>
        <a:effectLst/>
      </xdr:spPr>
    </xdr:pic>
    <xdr:clientData/>
  </xdr:twoCellAnchor>
  <xdr:twoCellAnchor editAs="oneCell">
    <xdr:from>
      <xdr:col>16</xdr:col>
      <xdr:colOff>0</xdr:colOff>
      <xdr:row>2</xdr:row>
      <xdr:rowOff>0</xdr:rowOff>
    </xdr:from>
    <xdr:to>
      <xdr:col>17</xdr:col>
      <xdr:colOff>396737</xdr:colOff>
      <xdr:row>5</xdr:row>
      <xdr:rowOff>12424</xdr:rowOff>
    </xdr:to>
    <xdr:pic>
      <xdr:nvPicPr>
        <xdr:cNvPr id="8" name="Picture 12" descr="logo"/>
        <xdr:cNvPicPr>
          <a:picLocks noChangeAspect="1" noChangeArrowheads="1"/>
        </xdr:cNvPicPr>
      </xdr:nvPicPr>
      <xdr:blipFill>
        <a:blip xmlns:r="http://schemas.openxmlformats.org/officeDocument/2006/relationships" r:embed="rId3" cstate="print"/>
        <a:srcRect/>
        <a:stretch>
          <a:fillRect/>
        </a:stretch>
      </xdr:blipFill>
      <xdr:spPr bwMode="auto">
        <a:xfrm>
          <a:off x="10096500" y="621196"/>
          <a:ext cx="1009650" cy="8572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296103</xdr:colOff>
      <xdr:row>17</xdr:row>
      <xdr:rowOff>0</xdr:rowOff>
    </xdr:from>
    <xdr:to>
      <xdr:col>21</xdr:col>
      <xdr:colOff>489916</xdr:colOff>
      <xdr:row>32</xdr:row>
      <xdr:rowOff>62451</xdr:rowOff>
    </xdr:to>
    <xdr:pic>
      <xdr:nvPicPr>
        <xdr:cNvPr id="2" name="Picture 1"/>
        <xdr:cNvPicPr/>
      </xdr:nvPicPr>
      <xdr:blipFill>
        <a:blip xmlns:r="http://schemas.openxmlformats.org/officeDocument/2006/relationships" r:embed="rId1" cstate="print"/>
        <a:srcRect/>
        <a:stretch>
          <a:fillRect/>
        </a:stretch>
      </xdr:blipFill>
      <xdr:spPr bwMode="auto">
        <a:xfrm>
          <a:off x="8876886" y="2963517"/>
          <a:ext cx="5097117" cy="2555516"/>
        </a:xfrm>
        <a:prstGeom prst="rect">
          <a:avLst/>
        </a:prstGeom>
        <a:noFill/>
        <a:ln w="9525">
          <a:noFill/>
          <a:miter lim="800000"/>
          <a:headEnd/>
          <a:tailEnd/>
        </a:ln>
      </xdr:spPr>
    </xdr:pic>
    <xdr:clientData/>
  </xdr:twoCellAnchor>
  <xdr:twoCellAnchor editAs="oneCell">
    <xdr:from>
      <xdr:col>8</xdr:col>
      <xdr:colOff>255106</xdr:colOff>
      <xdr:row>25</xdr:row>
      <xdr:rowOff>82411</xdr:rowOff>
    </xdr:from>
    <xdr:to>
      <xdr:col>11</xdr:col>
      <xdr:colOff>61293</xdr:colOff>
      <xdr:row>34</xdr:row>
      <xdr:rowOff>53835</xdr:rowOff>
    </xdr:to>
    <xdr:pic>
      <xdr:nvPicPr>
        <xdr:cNvPr id="3"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5771323" y="4265128"/>
          <a:ext cx="1644926" cy="1462294"/>
        </a:xfrm>
        <a:prstGeom prst="rect">
          <a:avLst/>
        </a:prstGeom>
        <a:noFill/>
        <a:ln w="1">
          <a:solidFill>
            <a:srgbClr val="FF0000"/>
          </a:solidFill>
          <a:miter lim="800000"/>
          <a:headEnd/>
          <a:tailEnd type="none" w="med" len="med"/>
        </a:ln>
        <a:effectLst/>
      </xdr:spPr>
    </xdr:pic>
    <xdr:clientData/>
  </xdr:twoCellAnchor>
  <xdr:twoCellAnchor editAs="oneCell">
    <xdr:from>
      <xdr:col>11</xdr:col>
      <xdr:colOff>165653</xdr:colOff>
      <xdr:row>27</xdr:row>
      <xdr:rowOff>8283</xdr:rowOff>
    </xdr:from>
    <xdr:to>
      <xdr:col>14</xdr:col>
      <xdr:colOff>554934</xdr:colOff>
      <xdr:row>37</xdr:row>
      <xdr:rowOff>8283</xdr:rowOff>
    </xdr:to>
    <xdr:pic>
      <xdr:nvPicPr>
        <xdr:cNvPr id="4129" name="Picture 33"/>
        <xdr:cNvPicPr>
          <a:picLocks noChangeAspect="1" noChangeArrowheads="1"/>
        </xdr:cNvPicPr>
      </xdr:nvPicPr>
      <xdr:blipFill>
        <a:blip xmlns:r="http://schemas.openxmlformats.org/officeDocument/2006/relationships" r:embed="rId3" cstate="print"/>
        <a:srcRect l="3780" t="3310" r="3780" b="2128"/>
        <a:stretch>
          <a:fillRect/>
        </a:stretch>
      </xdr:blipFill>
      <xdr:spPr bwMode="auto">
        <a:xfrm>
          <a:off x="7520610" y="4522305"/>
          <a:ext cx="2228021" cy="1656522"/>
        </a:xfrm>
        <a:prstGeom prst="rect">
          <a:avLst/>
        </a:prstGeom>
        <a:noFill/>
        <a:ln w="1">
          <a:solidFill>
            <a:srgbClr val="FF0000"/>
          </a:solidFill>
          <a:miter lim="800000"/>
          <a:headEnd/>
          <a:tailEnd type="none" w="med" len="med"/>
        </a:ln>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200025</xdr:colOff>
      <xdr:row>2</xdr:row>
      <xdr:rowOff>76200</xdr:rowOff>
    </xdr:from>
    <xdr:to>
      <xdr:col>10</xdr:col>
      <xdr:colOff>200025</xdr:colOff>
      <xdr:row>7</xdr:row>
      <xdr:rowOff>123825</xdr:rowOff>
    </xdr:to>
    <xdr:pic>
      <xdr:nvPicPr>
        <xdr:cNvPr id="2" name="Picture 12" descr="logo"/>
        <xdr:cNvPicPr>
          <a:picLocks noChangeAspect="1" noChangeArrowheads="1"/>
        </xdr:cNvPicPr>
      </xdr:nvPicPr>
      <xdr:blipFill>
        <a:blip xmlns:r="http://schemas.openxmlformats.org/officeDocument/2006/relationships" r:embed="rId1" cstate="print"/>
        <a:srcRect/>
        <a:stretch>
          <a:fillRect/>
        </a:stretch>
      </xdr:blipFill>
      <xdr:spPr bwMode="auto">
        <a:xfrm>
          <a:off x="6296025" y="400050"/>
          <a:ext cx="1009650" cy="857250"/>
        </a:xfrm>
        <a:prstGeom prst="rect">
          <a:avLst/>
        </a:prstGeom>
        <a:noFill/>
        <a:ln w="9525">
          <a:noFill/>
          <a:miter lim="800000"/>
          <a:headEnd/>
          <a:tailEnd/>
        </a:ln>
      </xdr:spPr>
    </xdr:pic>
    <xdr:clientData/>
  </xdr:twoCellAnchor>
  <xdr:twoCellAnchor editAs="oneCell">
    <xdr:from>
      <xdr:col>10</xdr:col>
      <xdr:colOff>266700</xdr:colOff>
      <xdr:row>2</xdr:row>
      <xdr:rowOff>47625</xdr:rowOff>
    </xdr:from>
    <xdr:to>
      <xdr:col>12</xdr:col>
      <xdr:colOff>57150</xdr:colOff>
      <xdr:row>7</xdr:row>
      <xdr:rowOff>95250</xdr:rowOff>
    </xdr:to>
    <xdr:pic>
      <xdr:nvPicPr>
        <xdr:cNvPr id="3" name="Picture 12" descr="logo"/>
        <xdr:cNvPicPr>
          <a:picLocks noChangeAspect="1" noChangeArrowheads="1"/>
        </xdr:cNvPicPr>
      </xdr:nvPicPr>
      <xdr:blipFill>
        <a:blip xmlns:r="http://schemas.openxmlformats.org/officeDocument/2006/relationships" r:embed="rId1" cstate="print"/>
        <a:srcRect/>
        <a:stretch>
          <a:fillRect/>
        </a:stretch>
      </xdr:blipFill>
      <xdr:spPr bwMode="auto">
        <a:xfrm>
          <a:off x="6362700" y="371475"/>
          <a:ext cx="1009650" cy="8572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dimension ref="A1:V31"/>
  <sheetViews>
    <sheetView showGridLines="0" zoomScale="115" zoomScaleNormal="115" workbookViewId="0">
      <selection activeCell="C7" sqref="C7"/>
    </sheetView>
  </sheetViews>
  <sheetFormatPr baseColWidth="10" defaultColWidth="0" defaultRowHeight="13" zeroHeight="1" x14ac:dyDescent="0.15"/>
  <cols>
    <col min="1" max="2" width="9.1640625" customWidth="1"/>
    <col min="3" max="3" width="9.5" customWidth="1"/>
    <col min="4" max="4" width="9.1640625" customWidth="1"/>
    <col min="5" max="5" width="9.1640625" style="3" customWidth="1"/>
    <col min="6" max="22" width="9.1640625" customWidth="1"/>
    <col min="23" max="16384" width="9.1640625" hidden="1"/>
  </cols>
  <sheetData>
    <row r="1" spans="1:21" x14ac:dyDescent="0.15"/>
    <row r="2" spans="1:21" ht="19" thickBot="1" x14ac:dyDescent="0.2">
      <c r="B2" s="51" t="s">
        <v>44</v>
      </c>
      <c r="C2" s="48"/>
      <c r="D2" s="48"/>
      <c r="E2" s="49"/>
      <c r="F2" s="68"/>
      <c r="G2" s="68"/>
      <c r="H2" s="68"/>
      <c r="I2" s="48"/>
      <c r="J2" s="48"/>
      <c r="K2" s="48"/>
      <c r="L2" s="50"/>
    </row>
    <row r="3" spans="1:21" ht="14" thickBot="1" x14ac:dyDescent="0.2">
      <c r="C3" s="61"/>
      <c r="D3" s="61"/>
      <c r="E3" s="69"/>
      <c r="F3" s="10" t="s">
        <v>49</v>
      </c>
      <c r="G3" s="9" t="s">
        <v>48</v>
      </c>
      <c r="H3" s="67" t="s">
        <v>58</v>
      </c>
      <c r="I3" s="61"/>
      <c r="J3" s="61"/>
      <c r="K3" s="61"/>
      <c r="L3" s="61"/>
      <c r="M3" s="66"/>
      <c r="T3" s="43" t="s">
        <v>9</v>
      </c>
      <c r="U3" s="44" t="s">
        <v>10</v>
      </c>
    </row>
    <row r="4" spans="1:21" s="37" customFormat="1" ht="40" thickBot="1" x14ac:dyDescent="0.2">
      <c r="B4" s="62"/>
      <c r="C4" s="105" t="s">
        <v>130</v>
      </c>
      <c r="D4" s="106" t="s">
        <v>127</v>
      </c>
      <c r="E4" s="107" t="s">
        <v>46</v>
      </c>
      <c r="F4" s="108" t="s">
        <v>51</v>
      </c>
      <c r="G4" s="109" t="s">
        <v>50</v>
      </c>
      <c r="H4" s="109" t="s">
        <v>57</v>
      </c>
      <c r="I4" s="110" t="s">
        <v>56</v>
      </c>
      <c r="J4" s="111" t="s">
        <v>54</v>
      </c>
      <c r="K4" s="112" t="s">
        <v>4</v>
      </c>
      <c r="L4" s="112" t="s">
        <v>6</v>
      </c>
      <c r="M4" s="113" t="s">
        <v>47</v>
      </c>
      <c r="T4" s="45" t="s">
        <v>0</v>
      </c>
      <c r="U4" s="46" t="s">
        <v>1</v>
      </c>
    </row>
    <row r="5" spans="1:21" s="40" customFormat="1" ht="14" thickBot="1" x14ac:dyDescent="0.2">
      <c r="B5" s="63"/>
      <c r="C5" s="114" t="s">
        <v>43</v>
      </c>
      <c r="D5" s="115" t="s">
        <v>128</v>
      </c>
      <c r="E5" s="116" t="s">
        <v>42</v>
      </c>
      <c r="F5" s="115" t="s">
        <v>42</v>
      </c>
      <c r="G5" s="116" t="s">
        <v>42</v>
      </c>
      <c r="H5" s="116" t="s">
        <v>42</v>
      </c>
      <c r="I5" s="115" t="s">
        <v>41</v>
      </c>
      <c r="J5" s="115" t="s">
        <v>41</v>
      </c>
      <c r="K5" s="115" t="s">
        <v>5</v>
      </c>
      <c r="L5" s="115" t="s">
        <v>7</v>
      </c>
      <c r="M5" s="117" t="s">
        <v>8</v>
      </c>
      <c r="T5" s="45" t="s">
        <v>3</v>
      </c>
      <c r="U5" s="46" t="s">
        <v>2</v>
      </c>
    </row>
    <row r="6" spans="1:21" x14ac:dyDescent="0.15">
      <c r="A6" t="s">
        <v>126</v>
      </c>
      <c r="B6" s="64"/>
      <c r="C6" s="120">
        <v>3</v>
      </c>
      <c r="D6" s="121">
        <v>0.75</v>
      </c>
      <c r="E6" s="122">
        <f>VLOOKUP(D6,$T$6:$U$9,2,0)</f>
        <v>0.78500000000000003</v>
      </c>
      <c r="F6" s="122">
        <v>33</v>
      </c>
      <c r="G6" s="122">
        <v>30</v>
      </c>
      <c r="H6" s="122">
        <v>6</v>
      </c>
      <c r="I6" s="123">
        <v>5</v>
      </c>
      <c r="J6" s="122">
        <f>F6/12+G6/12*(C6-1)+H6/12*(2*C6-1)+I6</f>
        <v>15.25</v>
      </c>
      <c r="K6" s="122">
        <f>IF(C6=0,0,VLOOKUP((C6*1.5),wsfuGPM!C:E,2))</f>
        <v>6.5</v>
      </c>
      <c r="L6" s="122">
        <f>4*K6/PI()/E6^2/7.48*144/60</f>
        <v>4.3091717657881441</v>
      </c>
      <c r="M6" s="147">
        <f>(J6*4.52*POWER(K6,1.85)/POWER(150,1.85)/POWER(E6,4.8655))+4.333*H6/12</f>
        <v>2.8395399507632826</v>
      </c>
      <c r="T6" s="45">
        <v>0.5</v>
      </c>
      <c r="U6" s="47">
        <v>0.54500000000000004</v>
      </c>
    </row>
    <row r="7" spans="1:21" ht="14" thickBot="1" x14ac:dyDescent="0.2">
      <c r="C7" s="100">
        <v>3</v>
      </c>
      <c r="D7" s="101">
        <v>0.75</v>
      </c>
      <c r="E7" s="102">
        <f>VLOOKUP(D7,$T$6:$U$9,2,0)</f>
        <v>0.78500000000000003</v>
      </c>
      <c r="F7" s="103">
        <v>33</v>
      </c>
      <c r="G7" s="103">
        <v>30</v>
      </c>
      <c r="H7" s="103">
        <v>6</v>
      </c>
      <c r="I7" s="104">
        <v>5</v>
      </c>
      <c r="J7" s="102">
        <f>F7/12+G7/12*(C7-1)+H7/12*(2*C7-1)+I7</f>
        <v>15.25</v>
      </c>
      <c r="K7" s="102">
        <f>IF(C7=0,0,VLOOKUP((C7*1.5),wsfuGPM!C:E,2))</f>
        <v>6.5</v>
      </c>
      <c r="L7" s="102">
        <f>4*K7/PI()/E7^2/7.48*144/60</f>
        <v>4.3091717657881441</v>
      </c>
      <c r="M7" s="148">
        <f>(J7*4.52*POWER(K7,1.85)/POWER(150,1.85)/POWER(E7,4.8655))+4.333*H7/12</f>
        <v>2.8395399507632826</v>
      </c>
      <c r="T7" s="45">
        <v>0.75</v>
      </c>
      <c r="U7" s="47">
        <v>0.78500000000000003</v>
      </c>
    </row>
    <row r="8" spans="1:21" s="37" customFormat="1" ht="14" thickBot="1" x14ac:dyDescent="0.2">
      <c r="M8" s="60"/>
      <c r="T8" s="38"/>
      <c r="U8" s="39"/>
    </row>
    <row r="9" spans="1:21" s="40" customFormat="1" x14ac:dyDescent="0.15">
      <c r="C9" s="52" t="s">
        <v>110</v>
      </c>
      <c r="L9" s="118"/>
      <c r="M9" s="5" t="s">
        <v>36</v>
      </c>
      <c r="T9" s="41"/>
      <c r="U9" s="42"/>
    </row>
    <row r="10" spans="1:21" x14ac:dyDescent="0.15">
      <c r="C10" t="s">
        <v>53</v>
      </c>
      <c r="L10" s="119"/>
      <c r="M10" s="5" t="s">
        <v>37</v>
      </c>
    </row>
    <row r="11" spans="1:21" ht="14" thickBot="1" x14ac:dyDescent="0.2">
      <c r="C11" t="s">
        <v>55</v>
      </c>
      <c r="L11" s="144"/>
      <c r="M11" s="5" t="s">
        <v>38</v>
      </c>
    </row>
    <row r="12" spans="1:21" x14ac:dyDescent="0.15">
      <c r="B12" s="4"/>
    </row>
    <row r="13" spans="1:21" x14ac:dyDescent="0.15">
      <c r="B13" s="4"/>
    </row>
    <row r="14" spans="1:21" x14ac:dyDescent="0.15"/>
    <row r="15" spans="1:21" x14ac:dyDescent="0.15"/>
    <row r="16" spans="1:21"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sheetData>
  <sheetProtection sheet="1" objects="1" scenarios="1"/>
  <dataValidations count="1">
    <dataValidation type="list" allowBlank="1" showInputMessage="1" showErrorMessage="1" sqref="D6:D7">
      <formula1>$T$6:$T$7</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1"/>
  <sheetViews>
    <sheetView showGridLines="0" zoomScale="115" zoomScaleNormal="115" workbookViewId="0">
      <selection activeCell="C7" sqref="C7"/>
    </sheetView>
  </sheetViews>
  <sheetFormatPr baseColWidth="10" defaultColWidth="0" defaultRowHeight="13" zeroHeight="1" x14ac:dyDescent="0.15"/>
  <cols>
    <col min="1" max="2" width="9.1640625" customWidth="1"/>
    <col min="3" max="3" width="9.6640625" customWidth="1"/>
    <col min="4" max="9" width="9.1640625" customWidth="1"/>
    <col min="10" max="10" width="13" customWidth="1"/>
    <col min="11" max="21" width="9.1640625" customWidth="1"/>
    <col min="22" max="16384" width="9.1640625" hidden="1"/>
  </cols>
  <sheetData>
    <row r="1" spans="1:24" x14ac:dyDescent="0.15"/>
    <row r="2" spans="1:24" s="48" customFormat="1" ht="36" customHeight="1" thickBot="1" x14ac:dyDescent="0.2">
      <c r="B2" s="138" t="s">
        <v>52</v>
      </c>
      <c r="D2" s="152" t="s">
        <v>129</v>
      </c>
      <c r="E2" s="152"/>
      <c r="F2" s="152"/>
      <c r="G2" s="152"/>
      <c r="H2" s="152"/>
      <c r="I2" s="152"/>
      <c r="J2" s="152"/>
      <c r="K2" s="152"/>
      <c r="L2" s="152"/>
      <c r="M2" s="152"/>
      <c r="N2" s="152"/>
      <c r="O2" s="152"/>
    </row>
    <row r="3" spans="1:24" ht="14" thickBot="1" x14ac:dyDescent="0.2">
      <c r="F3" s="20" t="s">
        <v>123</v>
      </c>
      <c r="G3" s="136" t="s">
        <v>48</v>
      </c>
      <c r="H3" s="137" t="s">
        <v>58</v>
      </c>
      <c r="I3" s="2"/>
      <c r="J3" s="2"/>
      <c r="W3" s="95" t="s">
        <v>9</v>
      </c>
      <c r="X3" s="92" t="s">
        <v>10</v>
      </c>
    </row>
    <row r="4" spans="1:24" ht="40" thickBot="1" x14ac:dyDescent="0.2">
      <c r="B4" s="37"/>
      <c r="C4" s="129" t="s">
        <v>130</v>
      </c>
      <c r="D4" s="130" t="s">
        <v>45</v>
      </c>
      <c r="E4" s="131" t="s">
        <v>46</v>
      </c>
      <c r="F4" s="131" t="s">
        <v>120</v>
      </c>
      <c r="G4" s="131" t="s">
        <v>121</v>
      </c>
      <c r="H4" s="131" t="s">
        <v>124</v>
      </c>
      <c r="I4" s="131" t="s">
        <v>122</v>
      </c>
      <c r="J4" s="131" t="s">
        <v>125</v>
      </c>
      <c r="K4" s="132" t="s">
        <v>4</v>
      </c>
      <c r="L4" s="132" t="s">
        <v>6</v>
      </c>
      <c r="M4" s="133" t="s">
        <v>47</v>
      </c>
      <c r="N4" s="37"/>
      <c r="O4" s="37"/>
      <c r="P4" s="37"/>
      <c r="S4" s="37"/>
      <c r="W4" s="96" t="s">
        <v>0</v>
      </c>
      <c r="X4" s="97" t="s">
        <v>1</v>
      </c>
    </row>
    <row r="5" spans="1:24" ht="14" thickBot="1" x14ac:dyDescent="0.2">
      <c r="B5" s="40"/>
      <c r="C5" s="114" t="s">
        <v>43</v>
      </c>
      <c r="D5" s="115"/>
      <c r="E5" s="116" t="s">
        <v>42</v>
      </c>
      <c r="F5" s="116" t="s">
        <v>42</v>
      </c>
      <c r="G5" s="116" t="s">
        <v>42</v>
      </c>
      <c r="H5" s="116" t="s">
        <v>42</v>
      </c>
      <c r="I5" s="116" t="s">
        <v>41</v>
      </c>
      <c r="J5" s="115" t="s">
        <v>41</v>
      </c>
      <c r="K5" s="115" t="s">
        <v>5</v>
      </c>
      <c r="L5" s="115" t="s">
        <v>7</v>
      </c>
      <c r="M5" s="117" t="s">
        <v>8</v>
      </c>
      <c r="N5" s="40"/>
      <c r="O5" s="40"/>
      <c r="P5" s="40"/>
      <c r="S5" s="40"/>
      <c r="W5" s="96" t="s">
        <v>3</v>
      </c>
      <c r="X5" s="97" t="s">
        <v>2</v>
      </c>
    </row>
    <row r="6" spans="1:24" x14ac:dyDescent="0.15">
      <c r="A6" t="s">
        <v>126</v>
      </c>
      <c r="C6" s="134">
        <v>3</v>
      </c>
      <c r="D6" s="135">
        <v>0.75</v>
      </c>
      <c r="E6" s="98">
        <f>VLOOKUP(D6,W6:X7,2,0)</f>
        <v>0.78500000000000003</v>
      </c>
      <c r="F6" s="98">
        <v>24</v>
      </c>
      <c r="G6" s="98">
        <v>30</v>
      </c>
      <c r="H6" s="98">
        <v>6</v>
      </c>
      <c r="I6" s="99">
        <v>6</v>
      </c>
      <c r="J6" s="99">
        <f>2*F6/12+2*(C6-1)*G6/12+(2*C6)*H6/12+I6</f>
        <v>23</v>
      </c>
      <c r="K6" s="98">
        <f>IF(C6=0,0,VLOOKUP((C6*1.5),wsfuGPM!C:E,2))</f>
        <v>6.5</v>
      </c>
      <c r="L6" s="98">
        <f>4*K6/PI()/E6^2/7.48*144/60</f>
        <v>4.3091717657881441</v>
      </c>
      <c r="M6" s="145">
        <f>(J6*4.52*POWER(K6/2,1.85)/POWER(150,1.85)/POWER(E6,4.8655))</f>
        <v>0.28157451484469875</v>
      </c>
      <c r="W6" s="96">
        <v>0.5</v>
      </c>
      <c r="X6" s="1">
        <v>0.54500000000000004</v>
      </c>
    </row>
    <row r="7" spans="1:24" ht="14" thickBot="1" x14ac:dyDescent="0.2">
      <c r="C7" s="124">
        <v>3</v>
      </c>
      <c r="D7" s="125">
        <v>0.75</v>
      </c>
      <c r="E7" s="65">
        <f>VLOOKUP(D7,W6:X7,2,0)</f>
        <v>0.78500000000000003</v>
      </c>
      <c r="F7" s="126">
        <v>24</v>
      </c>
      <c r="G7" s="126">
        <v>30</v>
      </c>
      <c r="H7" s="126">
        <v>6</v>
      </c>
      <c r="I7" s="127">
        <v>6</v>
      </c>
      <c r="J7" s="128">
        <f>2*F7/12+2*(C7-1)*G7/12+(2*C7)*H7/12+I7</f>
        <v>23</v>
      </c>
      <c r="K7" s="65">
        <f>IF(C7=0,0,VLOOKUP((C7*1.5),wsfuGPM!C:E,2))</f>
        <v>6.5</v>
      </c>
      <c r="L7" s="65">
        <f>4*K7/PI()/E7^2/7.48*144/60</f>
        <v>4.3091717657881441</v>
      </c>
      <c r="M7" s="146">
        <f>(J7*4.52*POWER(K7/2,1.85)/POWER(150,1.85)/POWER(E7,4.8655))</f>
        <v>0.28157451484469875</v>
      </c>
      <c r="W7" s="96">
        <v>0.75</v>
      </c>
      <c r="X7" s="1">
        <v>0.78500000000000003</v>
      </c>
    </row>
    <row r="8" spans="1:24" ht="14" thickBot="1" x14ac:dyDescent="0.2">
      <c r="R8" s="37"/>
    </row>
    <row r="9" spans="1:24" x14ac:dyDescent="0.15">
      <c r="C9" s="52" t="s">
        <v>110</v>
      </c>
      <c r="D9" s="40"/>
      <c r="E9" s="40"/>
      <c r="F9" s="40"/>
      <c r="G9" s="40"/>
      <c r="H9" s="40"/>
      <c r="I9" s="40"/>
      <c r="J9" s="40"/>
      <c r="K9" s="40"/>
      <c r="L9" s="118"/>
      <c r="M9" s="5" t="s">
        <v>36</v>
      </c>
      <c r="Q9" s="40"/>
      <c r="R9" s="40"/>
    </row>
    <row r="10" spans="1:24" x14ac:dyDescent="0.15">
      <c r="C10" t="s">
        <v>53</v>
      </c>
      <c r="E10" s="3"/>
      <c r="F10" s="3"/>
      <c r="G10" s="3"/>
      <c r="H10" s="3"/>
      <c r="L10" s="119"/>
      <c r="M10" s="5" t="s">
        <v>37</v>
      </c>
    </row>
    <row r="11" spans="1:24" ht="14" thickBot="1" x14ac:dyDescent="0.2">
      <c r="C11" t="s">
        <v>55</v>
      </c>
      <c r="E11" s="3"/>
      <c r="F11" s="3"/>
      <c r="G11" s="3"/>
      <c r="H11" s="3"/>
      <c r="L11" s="144"/>
      <c r="M11" s="5" t="s">
        <v>38</v>
      </c>
    </row>
    <row r="12" spans="1:24" x14ac:dyDescent="0.15">
      <c r="S12" s="37"/>
    </row>
    <row r="13" spans="1:24" x14ac:dyDescent="0.15">
      <c r="N13" s="40"/>
      <c r="O13" s="40"/>
      <c r="P13" s="40"/>
      <c r="S13" s="40"/>
    </row>
    <row r="14" spans="1:24" x14ac:dyDescent="0.15"/>
    <row r="15" spans="1:24" x14ac:dyDescent="0.15"/>
    <row r="16" spans="1:24" x14ac:dyDescent="0.15"/>
    <row r="17" spans="3:3" x14ac:dyDescent="0.15"/>
    <row r="18" spans="3:3" x14ac:dyDescent="0.15"/>
    <row r="19" spans="3:3" x14ac:dyDescent="0.15"/>
    <row r="20" spans="3:3" x14ac:dyDescent="0.15"/>
    <row r="21" spans="3:3" x14ac:dyDescent="0.15"/>
    <row r="22" spans="3:3" x14ac:dyDescent="0.15"/>
    <row r="23" spans="3:3" x14ac:dyDescent="0.15">
      <c r="C23" s="5"/>
    </row>
    <row r="24" spans="3:3" x14ac:dyDescent="0.15">
      <c r="C24" s="5"/>
    </row>
    <row r="25" spans="3:3" x14ac:dyDescent="0.15">
      <c r="C25" s="5"/>
    </row>
    <row r="26" spans="3:3" x14ac:dyDescent="0.15"/>
    <row r="27" spans="3:3" x14ac:dyDescent="0.15"/>
    <row r="28" spans="3:3" x14ac:dyDescent="0.15"/>
    <row r="29" spans="3:3" x14ac:dyDescent="0.15"/>
    <row r="30" spans="3:3" x14ac:dyDescent="0.15"/>
    <row r="31" spans="3:3" x14ac:dyDescent="0.15"/>
  </sheetData>
  <sheetProtection sheet="1" objects="1" scenarios="1"/>
  <mergeCells count="1">
    <mergeCell ref="D2:O2"/>
  </mergeCells>
  <dataValidations count="1">
    <dataValidation type="list" allowBlank="1" showInputMessage="1" showErrorMessage="1" sqref="D6:D7">
      <formula1>$W$6:$W$7</formula1>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C3:R58"/>
  <sheetViews>
    <sheetView workbookViewId="0">
      <selection activeCell="C15" sqref="C15"/>
    </sheetView>
  </sheetViews>
  <sheetFormatPr baseColWidth="10" defaultColWidth="8.83203125" defaultRowHeight="13" x14ac:dyDescent="0.15"/>
  <cols>
    <col min="8" max="18" width="5" customWidth="1"/>
  </cols>
  <sheetData>
    <row r="3" spans="3:18" x14ac:dyDescent="0.15">
      <c r="C3" s="2"/>
      <c r="D3" s="154" t="s">
        <v>11</v>
      </c>
      <c r="E3" s="155"/>
    </row>
    <row r="4" spans="3:18" x14ac:dyDescent="0.15">
      <c r="C4" s="6" t="s">
        <v>12</v>
      </c>
      <c r="D4" s="6" t="s">
        <v>13</v>
      </c>
      <c r="E4" s="7" t="s">
        <v>14</v>
      </c>
    </row>
    <row r="5" spans="3:18" x14ac:dyDescent="0.15">
      <c r="C5" s="8"/>
      <c r="D5" s="9" t="s">
        <v>5</v>
      </c>
      <c r="E5" s="10" t="s">
        <v>5</v>
      </c>
    </row>
    <row r="6" spans="3:18" ht="12.75" customHeight="1" x14ac:dyDescent="0.15">
      <c r="C6" s="11">
        <v>1</v>
      </c>
      <c r="D6" s="12">
        <v>3</v>
      </c>
      <c r="E6" s="12">
        <v>3</v>
      </c>
      <c r="F6" s="156" t="s">
        <v>15</v>
      </c>
      <c r="G6" s="157"/>
      <c r="H6" s="157"/>
    </row>
    <row r="7" spans="3:18" x14ac:dyDescent="0.15">
      <c r="C7" s="11">
        <v>2</v>
      </c>
      <c r="D7" s="12">
        <v>3</v>
      </c>
      <c r="E7" s="13">
        <v>3</v>
      </c>
      <c r="F7" s="156"/>
      <c r="G7" s="157"/>
      <c r="H7" s="157"/>
    </row>
    <row r="8" spans="3:18" x14ac:dyDescent="0.15">
      <c r="C8" s="11">
        <v>3</v>
      </c>
      <c r="D8" s="12">
        <v>5</v>
      </c>
      <c r="E8" s="13">
        <v>5</v>
      </c>
      <c r="F8" s="156"/>
      <c r="G8" s="157"/>
      <c r="H8" s="157"/>
    </row>
    <row r="9" spans="3:18" x14ac:dyDescent="0.15">
      <c r="C9" s="11">
        <v>4</v>
      </c>
      <c r="D9" s="12">
        <v>6.5</v>
      </c>
      <c r="E9" s="13">
        <v>6.5</v>
      </c>
      <c r="F9" s="156"/>
      <c r="G9" s="157"/>
      <c r="H9" s="157"/>
    </row>
    <row r="10" spans="3:18" x14ac:dyDescent="0.15">
      <c r="C10" s="11">
        <v>5</v>
      </c>
      <c r="D10" s="12">
        <v>8</v>
      </c>
      <c r="E10" s="13">
        <v>8</v>
      </c>
    </row>
    <row r="11" spans="3:18" x14ac:dyDescent="0.15">
      <c r="C11" s="11">
        <v>6</v>
      </c>
      <c r="D11" s="12">
        <v>9.4</v>
      </c>
      <c r="E11" s="13">
        <v>15</v>
      </c>
    </row>
    <row r="12" spans="3:18" x14ac:dyDescent="0.15">
      <c r="C12" s="11">
        <v>7</v>
      </c>
      <c r="D12" s="12">
        <v>10.7</v>
      </c>
      <c r="E12" s="13">
        <v>17.399999999999999</v>
      </c>
    </row>
    <row r="13" spans="3:18" x14ac:dyDescent="0.15">
      <c r="C13" s="11">
        <v>8</v>
      </c>
      <c r="D13" s="12">
        <v>11.8</v>
      </c>
      <c r="E13" s="13">
        <v>19.8</v>
      </c>
      <c r="I13" s="14">
        <v>0.5</v>
      </c>
      <c r="J13" s="14">
        <v>0.75</v>
      </c>
      <c r="K13" s="14">
        <v>1</v>
      </c>
      <c r="L13" s="14">
        <v>1.25</v>
      </c>
      <c r="M13" s="14">
        <v>1.5</v>
      </c>
      <c r="N13" s="14">
        <v>2</v>
      </c>
      <c r="O13" s="14">
        <v>2.5</v>
      </c>
      <c r="P13" s="15">
        <v>3</v>
      </c>
      <c r="Q13" s="15">
        <v>3.5</v>
      </c>
      <c r="R13" s="15">
        <v>4</v>
      </c>
    </row>
    <row r="14" spans="3:18" x14ac:dyDescent="0.15">
      <c r="C14" s="11">
        <v>9</v>
      </c>
      <c r="D14" s="12">
        <v>12.8</v>
      </c>
      <c r="E14" s="13">
        <v>22.2</v>
      </c>
      <c r="G14" s="158" t="s">
        <v>16</v>
      </c>
      <c r="H14" s="153"/>
      <c r="I14" s="16">
        <v>1</v>
      </c>
      <c r="J14" s="16">
        <v>1.5</v>
      </c>
      <c r="K14" s="16">
        <v>2.5</v>
      </c>
      <c r="L14" s="16">
        <v>3</v>
      </c>
      <c r="M14" s="16">
        <v>4</v>
      </c>
      <c r="N14" s="16">
        <v>5.5</v>
      </c>
      <c r="O14" s="16">
        <v>7</v>
      </c>
      <c r="P14" s="16">
        <v>9</v>
      </c>
      <c r="Q14" s="16">
        <v>9</v>
      </c>
      <c r="R14" s="16">
        <v>12.5</v>
      </c>
    </row>
    <row r="15" spans="3:18" x14ac:dyDescent="0.15">
      <c r="C15" s="11">
        <v>10</v>
      </c>
      <c r="D15" s="12">
        <v>13.7</v>
      </c>
      <c r="E15" s="13">
        <v>24.6</v>
      </c>
      <c r="G15" s="153" t="s">
        <v>17</v>
      </c>
      <c r="H15" s="153"/>
      <c r="I15" s="16">
        <v>0.5</v>
      </c>
      <c r="J15" s="16">
        <v>0.5</v>
      </c>
      <c r="K15" s="16">
        <v>1</v>
      </c>
      <c r="L15" s="16">
        <v>1</v>
      </c>
      <c r="M15" s="16">
        <v>1.5</v>
      </c>
      <c r="N15" s="16">
        <v>2</v>
      </c>
      <c r="O15" s="16">
        <v>2.5</v>
      </c>
      <c r="P15" s="16">
        <v>3.5</v>
      </c>
      <c r="Q15" s="16">
        <v>3.5</v>
      </c>
      <c r="R15" s="16">
        <v>5</v>
      </c>
    </row>
    <row r="16" spans="3:18" x14ac:dyDescent="0.15">
      <c r="C16" s="11">
        <v>11</v>
      </c>
      <c r="D16" s="12">
        <v>14.6</v>
      </c>
      <c r="E16" s="13">
        <v>27</v>
      </c>
      <c r="G16" s="153" t="s">
        <v>18</v>
      </c>
      <c r="H16" s="153"/>
      <c r="I16" s="16">
        <v>2</v>
      </c>
      <c r="J16" s="16">
        <v>2</v>
      </c>
      <c r="K16" s="16">
        <v>4.5</v>
      </c>
      <c r="L16" s="16">
        <v>5.5</v>
      </c>
      <c r="M16" s="16">
        <v>7</v>
      </c>
      <c r="N16" s="16">
        <v>9</v>
      </c>
      <c r="O16" s="16">
        <v>12</v>
      </c>
      <c r="P16" s="16">
        <v>15</v>
      </c>
      <c r="Q16" s="16">
        <v>14</v>
      </c>
      <c r="R16" s="16">
        <v>21</v>
      </c>
    </row>
    <row r="17" spans="3:18" x14ac:dyDescent="0.15">
      <c r="C17" s="11">
        <v>12</v>
      </c>
      <c r="D17" s="12">
        <v>15.4</v>
      </c>
      <c r="E17" s="13">
        <v>27.8</v>
      </c>
      <c r="G17" s="153" t="s">
        <v>19</v>
      </c>
      <c r="H17" s="153"/>
      <c r="I17" s="16"/>
      <c r="J17" s="16"/>
      <c r="K17" s="16">
        <v>0</v>
      </c>
      <c r="L17" s="16">
        <v>0.5</v>
      </c>
      <c r="M17" s="16">
        <v>0.5</v>
      </c>
      <c r="N17" s="16">
        <v>0.5</v>
      </c>
      <c r="O17" s="16">
        <v>0.5</v>
      </c>
      <c r="P17" s="16">
        <v>1</v>
      </c>
      <c r="Q17" s="16">
        <v>1</v>
      </c>
      <c r="R17" s="16">
        <v>1</v>
      </c>
    </row>
    <row r="18" spans="3:18" x14ac:dyDescent="0.15">
      <c r="C18" s="11">
        <v>13</v>
      </c>
      <c r="D18" s="12">
        <v>16</v>
      </c>
      <c r="E18" s="13">
        <v>28.6</v>
      </c>
      <c r="G18" s="153" t="s">
        <v>20</v>
      </c>
      <c r="H18" s="153"/>
      <c r="I18" s="16"/>
      <c r="J18" s="16"/>
      <c r="K18" s="16"/>
      <c r="L18" s="16">
        <v>0.5</v>
      </c>
      <c r="M18" s="16">
        <v>0.5</v>
      </c>
      <c r="N18" s="16">
        <v>0.5</v>
      </c>
      <c r="O18" s="16">
        <v>0.5</v>
      </c>
      <c r="P18" s="16">
        <v>1</v>
      </c>
      <c r="Q18" s="16">
        <v>1</v>
      </c>
      <c r="R18" s="16">
        <v>1</v>
      </c>
    </row>
    <row r="19" spans="3:18" x14ac:dyDescent="0.15">
      <c r="C19" s="11">
        <v>14</v>
      </c>
      <c r="D19" s="12">
        <v>16.5</v>
      </c>
      <c r="E19" s="13">
        <v>29.4</v>
      </c>
      <c r="G19" s="153" t="s">
        <v>21</v>
      </c>
      <c r="H19" s="153"/>
      <c r="I19" s="16"/>
      <c r="J19" s="16"/>
      <c r="K19" s="16">
        <v>0.5</v>
      </c>
      <c r="L19" s="16">
        <v>0.5</v>
      </c>
      <c r="M19" s="16">
        <v>0.5</v>
      </c>
      <c r="N19" s="16">
        <v>0.5</v>
      </c>
      <c r="O19" s="16"/>
      <c r="P19" s="16"/>
      <c r="Q19" s="16"/>
      <c r="R19" s="16"/>
    </row>
    <row r="20" spans="3:18" x14ac:dyDescent="0.15">
      <c r="C20" s="11">
        <v>15</v>
      </c>
      <c r="D20" s="12">
        <v>17</v>
      </c>
      <c r="E20" s="13">
        <v>30.2</v>
      </c>
      <c r="G20" s="153" t="s">
        <v>22</v>
      </c>
      <c r="H20" s="153"/>
      <c r="I20" s="16"/>
      <c r="J20" s="16"/>
      <c r="K20" s="16"/>
      <c r="L20" s="16"/>
      <c r="M20" s="16"/>
      <c r="N20" s="16">
        <v>0.5</v>
      </c>
      <c r="O20" s="16">
        <v>1</v>
      </c>
      <c r="P20" s="16">
        <v>1.5</v>
      </c>
      <c r="Q20" s="16">
        <v>2</v>
      </c>
      <c r="R20" s="16">
        <v>2</v>
      </c>
    </row>
    <row r="21" spans="3:18" x14ac:dyDescent="0.15">
      <c r="C21" s="11">
        <v>16</v>
      </c>
      <c r="D21" s="12">
        <v>17.5</v>
      </c>
      <c r="E21" s="13">
        <v>31</v>
      </c>
      <c r="G21" s="153" t="s">
        <v>23</v>
      </c>
      <c r="H21" s="153"/>
      <c r="I21" s="16"/>
      <c r="J21" s="16"/>
      <c r="K21" s="16"/>
      <c r="L21" s="16"/>
      <c r="M21" s="16"/>
      <c r="N21" s="16">
        <v>7.5</v>
      </c>
      <c r="O21" s="16">
        <v>10</v>
      </c>
      <c r="P21" s="16">
        <v>15.5</v>
      </c>
      <c r="Q21" s="16"/>
      <c r="R21" s="16">
        <v>16</v>
      </c>
    </row>
    <row r="22" spans="3:18" x14ac:dyDescent="0.15">
      <c r="C22" s="11">
        <v>17</v>
      </c>
      <c r="D22" s="12">
        <v>18</v>
      </c>
      <c r="E22" s="13">
        <v>31.8</v>
      </c>
      <c r="G22" s="153" t="s">
        <v>24</v>
      </c>
      <c r="H22" s="153"/>
      <c r="I22" s="16">
        <v>2.5</v>
      </c>
      <c r="J22" s="16">
        <v>2.5</v>
      </c>
      <c r="K22" s="16">
        <v>4.5</v>
      </c>
      <c r="L22" s="16">
        <v>5.5</v>
      </c>
      <c r="M22" s="16">
        <v>6.5</v>
      </c>
      <c r="N22" s="16">
        <v>9</v>
      </c>
      <c r="O22" s="16">
        <v>11.5</v>
      </c>
      <c r="P22" s="16">
        <v>14.5</v>
      </c>
      <c r="Q22" s="16">
        <v>12.5</v>
      </c>
      <c r="R22" s="16">
        <v>18.5</v>
      </c>
    </row>
    <row r="23" spans="3:18" x14ac:dyDescent="0.15">
      <c r="C23" s="11">
        <v>18</v>
      </c>
      <c r="D23" s="12">
        <v>18.399999999999999</v>
      </c>
      <c r="E23" s="13">
        <v>32.6</v>
      </c>
    </row>
    <row r="24" spans="3:18" x14ac:dyDescent="0.15">
      <c r="C24" s="11">
        <v>19</v>
      </c>
      <c r="D24" s="12">
        <v>18.8</v>
      </c>
      <c r="E24" s="13">
        <v>33.4</v>
      </c>
    </row>
    <row r="25" spans="3:18" x14ac:dyDescent="0.15">
      <c r="C25" s="11">
        <v>20</v>
      </c>
      <c r="D25" s="12">
        <v>19.2</v>
      </c>
      <c r="E25" s="13">
        <v>34.200000000000003</v>
      </c>
    </row>
    <row r="26" spans="3:18" x14ac:dyDescent="0.15">
      <c r="C26" s="11">
        <v>25</v>
      </c>
      <c r="D26" s="12">
        <v>19.600000000000001</v>
      </c>
      <c r="E26" s="13">
        <v>35</v>
      </c>
    </row>
    <row r="27" spans="3:18" x14ac:dyDescent="0.15">
      <c r="C27" s="11">
        <v>30</v>
      </c>
      <c r="D27" s="12">
        <v>21.5</v>
      </c>
      <c r="E27" s="13">
        <v>38</v>
      </c>
    </row>
    <row r="28" spans="3:18" x14ac:dyDescent="0.15">
      <c r="C28" s="11">
        <v>35</v>
      </c>
      <c r="D28" s="12">
        <v>23.3</v>
      </c>
      <c r="E28" s="13">
        <v>42</v>
      </c>
    </row>
    <row r="29" spans="3:18" x14ac:dyDescent="0.15">
      <c r="C29" s="11">
        <v>40</v>
      </c>
      <c r="D29" s="12">
        <v>24.9</v>
      </c>
      <c r="E29" s="13">
        <v>44</v>
      </c>
    </row>
    <row r="30" spans="3:18" x14ac:dyDescent="0.15">
      <c r="C30" s="11">
        <v>45</v>
      </c>
      <c r="D30" s="12">
        <v>26.3</v>
      </c>
      <c r="E30" s="13">
        <v>46</v>
      </c>
    </row>
    <row r="31" spans="3:18" x14ac:dyDescent="0.15">
      <c r="C31" s="11">
        <v>50</v>
      </c>
      <c r="D31" s="12">
        <v>27.7</v>
      </c>
      <c r="E31" s="13">
        <v>48</v>
      </c>
    </row>
    <row r="32" spans="3:18" x14ac:dyDescent="0.15">
      <c r="C32" s="11">
        <v>60</v>
      </c>
      <c r="D32" s="12">
        <v>29.1</v>
      </c>
      <c r="E32" s="13">
        <v>50</v>
      </c>
    </row>
    <row r="33" spans="3:5" x14ac:dyDescent="0.15">
      <c r="C33" s="11">
        <v>70</v>
      </c>
      <c r="D33" s="12">
        <v>32</v>
      </c>
      <c r="E33" s="13">
        <v>54</v>
      </c>
    </row>
    <row r="34" spans="3:5" x14ac:dyDescent="0.15">
      <c r="C34" s="11">
        <v>80</v>
      </c>
      <c r="D34" s="12">
        <v>35</v>
      </c>
      <c r="E34" s="13">
        <v>58</v>
      </c>
    </row>
    <row r="35" spans="3:5" x14ac:dyDescent="0.15">
      <c r="C35" s="11">
        <v>90</v>
      </c>
      <c r="D35" s="12">
        <v>38</v>
      </c>
      <c r="E35" s="13">
        <v>61.2</v>
      </c>
    </row>
    <row r="36" spans="3:5" x14ac:dyDescent="0.15">
      <c r="C36" s="11">
        <v>100</v>
      </c>
      <c r="D36" s="12">
        <v>41</v>
      </c>
      <c r="E36" s="13">
        <v>64.3</v>
      </c>
    </row>
    <row r="37" spans="3:5" x14ac:dyDescent="0.15">
      <c r="C37" s="11">
        <v>120</v>
      </c>
      <c r="D37" s="12">
        <v>43.5</v>
      </c>
      <c r="E37" s="13">
        <v>67.5</v>
      </c>
    </row>
    <row r="38" spans="3:5" x14ac:dyDescent="0.15">
      <c r="C38" s="11">
        <v>140</v>
      </c>
      <c r="D38" s="12">
        <v>48</v>
      </c>
      <c r="E38" s="13">
        <v>73</v>
      </c>
    </row>
    <row r="39" spans="3:5" x14ac:dyDescent="0.15">
      <c r="C39" s="11">
        <v>160</v>
      </c>
      <c r="D39" s="12">
        <v>52.5</v>
      </c>
      <c r="E39" s="13">
        <v>77</v>
      </c>
    </row>
    <row r="40" spans="3:5" x14ac:dyDescent="0.15">
      <c r="C40" s="11">
        <v>180</v>
      </c>
      <c r="D40" s="12">
        <v>57</v>
      </c>
      <c r="E40" s="13">
        <v>81</v>
      </c>
    </row>
    <row r="41" spans="3:5" x14ac:dyDescent="0.15">
      <c r="C41" s="11">
        <v>200</v>
      </c>
      <c r="D41" s="12">
        <v>61</v>
      </c>
      <c r="E41" s="13">
        <v>85.5</v>
      </c>
    </row>
    <row r="42" spans="3:5" x14ac:dyDescent="0.15">
      <c r="C42" s="11">
        <v>225</v>
      </c>
      <c r="D42" s="12">
        <v>65</v>
      </c>
      <c r="E42" s="13">
        <v>90</v>
      </c>
    </row>
    <row r="43" spans="3:5" x14ac:dyDescent="0.15">
      <c r="C43" s="11">
        <v>250</v>
      </c>
      <c r="D43" s="12">
        <v>70</v>
      </c>
      <c r="E43" s="13">
        <v>95.5</v>
      </c>
    </row>
    <row r="44" spans="3:5" x14ac:dyDescent="0.15">
      <c r="C44" s="11">
        <v>275</v>
      </c>
      <c r="D44" s="12">
        <v>75</v>
      </c>
      <c r="E44" s="13">
        <v>101</v>
      </c>
    </row>
    <row r="45" spans="3:5" x14ac:dyDescent="0.15">
      <c r="C45" s="11">
        <v>300</v>
      </c>
      <c r="D45" s="12">
        <v>80</v>
      </c>
      <c r="E45" s="13">
        <v>104.5</v>
      </c>
    </row>
    <row r="46" spans="3:5" x14ac:dyDescent="0.15">
      <c r="C46" s="11">
        <v>400</v>
      </c>
      <c r="D46" s="12">
        <v>85</v>
      </c>
      <c r="E46" s="13">
        <v>108</v>
      </c>
    </row>
    <row r="47" spans="3:5" x14ac:dyDescent="0.15">
      <c r="C47" s="11">
        <v>500</v>
      </c>
      <c r="D47" s="12">
        <v>105</v>
      </c>
      <c r="E47" s="13">
        <v>127</v>
      </c>
    </row>
    <row r="48" spans="3:5" x14ac:dyDescent="0.15">
      <c r="C48" s="11">
        <v>750</v>
      </c>
      <c r="D48" s="12">
        <v>124</v>
      </c>
      <c r="E48" s="13">
        <v>143</v>
      </c>
    </row>
    <row r="49" spans="3:5" x14ac:dyDescent="0.15">
      <c r="C49" s="11">
        <v>1000</v>
      </c>
      <c r="D49" s="12">
        <v>170</v>
      </c>
      <c r="E49" s="13">
        <v>177</v>
      </c>
    </row>
    <row r="50" spans="3:5" x14ac:dyDescent="0.15">
      <c r="C50" s="11">
        <v>1250</v>
      </c>
      <c r="D50" s="12">
        <v>208</v>
      </c>
      <c r="E50" s="13">
        <v>208</v>
      </c>
    </row>
    <row r="51" spans="3:5" x14ac:dyDescent="0.15">
      <c r="C51" s="11">
        <v>1500</v>
      </c>
      <c r="D51" s="12">
        <v>239</v>
      </c>
      <c r="E51" s="13">
        <v>239</v>
      </c>
    </row>
    <row r="52" spans="3:5" x14ac:dyDescent="0.15">
      <c r="C52" s="11">
        <v>1750</v>
      </c>
      <c r="D52" s="12">
        <v>269</v>
      </c>
      <c r="E52" s="13">
        <v>269</v>
      </c>
    </row>
    <row r="53" spans="3:5" x14ac:dyDescent="0.15">
      <c r="C53" s="11">
        <v>2000</v>
      </c>
      <c r="D53" s="12">
        <v>297</v>
      </c>
      <c r="E53" s="13">
        <v>297</v>
      </c>
    </row>
    <row r="54" spans="3:5" x14ac:dyDescent="0.15">
      <c r="C54" s="11">
        <v>2500</v>
      </c>
      <c r="D54" s="12">
        <v>325</v>
      </c>
      <c r="E54" s="13">
        <v>325</v>
      </c>
    </row>
    <row r="55" spans="3:5" x14ac:dyDescent="0.15">
      <c r="C55" s="11">
        <v>3000</v>
      </c>
      <c r="D55" s="12">
        <v>380</v>
      </c>
      <c r="E55" s="13">
        <v>380</v>
      </c>
    </row>
    <row r="56" spans="3:5" x14ac:dyDescent="0.15">
      <c r="C56" s="11">
        <v>4000</v>
      </c>
      <c r="D56" s="12">
        <v>433</v>
      </c>
      <c r="E56" s="13">
        <v>433</v>
      </c>
    </row>
    <row r="57" spans="3:5" x14ac:dyDescent="0.15">
      <c r="C57" s="11">
        <v>5000</v>
      </c>
      <c r="D57" s="12">
        <v>525</v>
      </c>
      <c r="E57" s="13">
        <v>525</v>
      </c>
    </row>
    <row r="58" spans="3:5" x14ac:dyDescent="0.15">
      <c r="C58" s="8">
        <v>5001</v>
      </c>
      <c r="D58" s="17">
        <v>593</v>
      </c>
      <c r="E58" s="18">
        <v>593</v>
      </c>
    </row>
  </sheetData>
  <mergeCells count="11">
    <mergeCell ref="G18:H18"/>
    <mergeCell ref="G19:H19"/>
    <mergeCell ref="G20:H20"/>
    <mergeCell ref="G21:H21"/>
    <mergeCell ref="G22:H22"/>
    <mergeCell ref="G17:H17"/>
    <mergeCell ref="D3:E3"/>
    <mergeCell ref="F6:H9"/>
    <mergeCell ref="G14:H14"/>
    <mergeCell ref="G15:H15"/>
    <mergeCell ref="G16:H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4"/>
  <sheetViews>
    <sheetView showGridLines="0" tabSelected="1" topLeftCell="A1048576" zoomScale="115" zoomScaleNormal="115" workbookViewId="0">
      <selection activeCell="B1" sqref="B1"/>
    </sheetView>
  </sheetViews>
  <sheetFormatPr baseColWidth="10" defaultColWidth="0" defaultRowHeight="13" zeroHeight="1" x14ac:dyDescent="0.15"/>
  <cols>
    <col min="1" max="24" width="9.1640625" customWidth="1"/>
    <col min="25" max="25" width="9.1640625" hidden="1" customWidth="1"/>
    <col min="26" max="27" width="12" style="92" hidden="1" customWidth="1"/>
    <col min="28" max="31" width="9.1640625" style="92" hidden="1" customWidth="1"/>
    <col min="32" max="35" width="0" hidden="1" customWidth="1"/>
    <col min="36" max="16384" width="9.1640625" hidden="1"/>
  </cols>
  <sheetData>
    <row r="1" spans="1:34" x14ac:dyDescent="0.15"/>
    <row r="2" spans="1:34" ht="14" thickBot="1" x14ac:dyDescent="0.2">
      <c r="C2" s="57" t="s">
        <v>59</v>
      </c>
      <c r="F2" s="57" t="s">
        <v>60</v>
      </c>
      <c r="I2" s="57" t="s">
        <v>61</v>
      </c>
      <c r="L2" s="57" t="s">
        <v>62</v>
      </c>
      <c r="O2" s="57" t="s">
        <v>63</v>
      </c>
      <c r="R2" s="57" t="s">
        <v>119</v>
      </c>
      <c r="V2" s="5"/>
      <c r="AA2" s="94" t="s">
        <v>3</v>
      </c>
      <c r="AB2" s="94" t="s">
        <v>64</v>
      </c>
      <c r="AC2" s="94" t="s">
        <v>65</v>
      </c>
      <c r="AD2" s="94" t="s">
        <v>66</v>
      </c>
    </row>
    <row r="3" spans="1:34" x14ac:dyDescent="0.15">
      <c r="B3" t="s">
        <v>67</v>
      </c>
      <c r="C3" s="73" t="s">
        <v>68</v>
      </c>
      <c r="D3" s="74">
        <v>37</v>
      </c>
      <c r="E3" s="75" t="s">
        <v>69</v>
      </c>
      <c r="F3" s="76" t="s">
        <v>68</v>
      </c>
      <c r="G3" s="77"/>
      <c r="H3" s="75" t="s">
        <v>69</v>
      </c>
      <c r="I3" s="76" t="s">
        <v>68</v>
      </c>
      <c r="J3" s="77"/>
      <c r="K3" s="75" t="s">
        <v>69</v>
      </c>
      <c r="L3" s="76" t="s">
        <v>68</v>
      </c>
      <c r="M3" s="77"/>
      <c r="N3" s="75" t="s">
        <v>69</v>
      </c>
      <c r="O3" s="76" t="s">
        <v>68</v>
      </c>
      <c r="P3" s="77"/>
      <c r="Q3" s="75" t="s">
        <v>69</v>
      </c>
      <c r="R3" s="141" t="s">
        <v>68</v>
      </c>
      <c r="S3" s="77"/>
      <c r="T3" s="75" t="s">
        <v>69</v>
      </c>
      <c r="V3" s="53" t="s">
        <v>68</v>
      </c>
      <c r="W3" t="s">
        <v>70</v>
      </c>
      <c r="AA3" s="93" t="s">
        <v>71</v>
      </c>
      <c r="AB3" s="93">
        <f>0.625-0.04-0.04</f>
        <v>0.54499999999999993</v>
      </c>
      <c r="AC3" s="93"/>
      <c r="AD3" s="93"/>
      <c r="AF3" s="92"/>
      <c r="AG3" s="92"/>
      <c r="AH3" s="92"/>
    </row>
    <row r="4" spans="1:34" x14ac:dyDescent="0.15">
      <c r="B4" s="48" t="s">
        <v>72</v>
      </c>
      <c r="C4" s="78" t="s">
        <v>73</v>
      </c>
      <c r="D4" s="31">
        <f>VLOOKUP($B$6,$AA$2:$AD$8,2,0)</f>
        <v>1.9850000000000001</v>
      </c>
      <c r="E4" s="71" t="s">
        <v>32</v>
      </c>
      <c r="F4" s="70" t="s">
        <v>73</v>
      </c>
      <c r="G4" s="31">
        <f>VLOOKUP($B$6,$AA$2:$AD$8,3,0)</f>
        <v>1.9785433070866143</v>
      </c>
      <c r="H4" s="71" t="s">
        <v>32</v>
      </c>
      <c r="I4" s="70" t="s">
        <v>73</v>
      </c>
      <c r="J4" s="31">
        <f>VLOOKUP($B$6,$AA$2:$AD$8,4,0)</f>
        <v>1.1043307086614174</v>
      </c>
      <c r="K4" s="71" t="s">
        <v>32</v>
      </c>
      <c r="L4" s="70" t="s">
        <v>73</v>
      </c>
      <c r="M4" s="31">
        <f>VLOOKUP($B$7,$AA$2:$AD$8,2,0)</f>
        <v>0.54499999999999993</v>
      </c>
      <c r="N4" s="71" t="s">
        <v>32</v>
      </c>
      <c r="O4" s="70" t="s">
        <v>73</v>
      </c>
      <c r="P4" s="31">
        <f>M4</f>
        <v>0.54499999999999993</v>
      </c>
      <c r="Q4" s="71" t="s">
        <v>32</v>
      </c>
      <c r="R4" s="87" t="s">
        <v>73</v>
      </c>
      <c r="S4" s="31">
        <f>D4</f>
        <v>1.9850000000000001</v>
      </c>
      <c r="T4" s="71" t="s">
        <v>32</v>
      </c>
      <c r="V4" s="53" t="s">
        <v>73</v>
      </c>
      <c r="W4" t="s">
        <v>74</v>
      </c>
      <c r="AA4" s="93" t="s">
        <v>75</v>
      </c>
      <c r="AB4" s="93">
        <f>0.875-0.045-0.045</f>
        <v>0.78499999999999992</v>
      </c>
      <c r="AC4" s="93"/>
      <c r="AD4" s="93"/>
      <c r="AF4" s="92"/>
      <c r="AG4" s="92"/>
      <c r="AH4" s="92"/>
    </row>
    <row r="5" spans="1:34" ht="14" thickBot="1" x14ac:dyDescent="0.2">
      <c r="C5" s="78" t="s">
        <v>76</v>
      </c>
      <c r="D5" s="72"/>
      <c r="E5" s="71" t="s">
        <v>77</v>
      </c>
      <c r="F5" s="70" t="s">
        <v>76</v>
      </c>
      <c r="G5" s="72"/>
      <c r="H5" s="71" t="s">
        <v>77</v>
      </c>
      <c r="I5" s="70" t="s">
        <v>76</v>
      </c>
      <c r="J5" s="72"/>
      <c r="K5" s="71" t="s">
        <v>77</v>
      </c>
      <c r="L5" s="70" t="s">
        <v>76</v>
      </c>
      <c r="M5" s="72"/>
      <c r="N5" s="71" t="s">
        <v>77</v>
      </c>
      <c r="O5" s="70" t="s">
        <v>76</v>
      </c>
      <c r="P5" s="72"/>
      <c r="Q5" s="71" t="s">
        <v>77</v>
      </c>
      <c r="R5" s="87" t="s">
        <v>76</v>
      </c>
      <c r="S5" s="72"/>
      <c r="T5" s="71" t="s">
        <v>77</v>
      </c>
      <c r="V5" s="53" t="s">
        <v>76</v>
      </c>
      <c r="W5" t="s">
        <v>78</v>
      </c>
      <c r="AA5" s="93" t="s">
        <v>79</v>
      </c>
      <c r="AB5" s="93">
        <f>1.125-0.05-0.05</f>
        <v>1.0249999999999999</v>
      </c>
      <c r="AC5" s="93"/>
      <c r="AD5" s="93"/>
      <c r="AF5" s="92"/>
      <c r="AG5" s="92"/>
      <c r="AH5" s="92"/>
    </row>
    <row r="6" spans="1:34" x14ac:dyDescent="0.15">
      <c r="A6" t="s">
        <v>80</v>
      </c>
      <c r="B6" s="139" t="s">
        <v>81</v>
      </c>
      <c r="C6" s="87" t="s">
        <v>82</v>
      </c>
      <c r="D6" s="72"/>
      <c r="E6" s="71" t="s">
        <v>83</v>
      </c>
      <c r="F6" s="70" t="s">
        <v>82</v>
      </c>
      <c r="G6" s="72"/>
      <c r="H6" s="71" t="s">
        <v>83</v>
      </c>
      <c r="I6" s="70" t="s">
        <v>82</v>
      </c>
      <c r="J6" s="72"/>
      <c r="K6" s="71" t="s">
        <v>83</v>
      </c>
      <c r="L6" s="70" t="s">
        <v>82</v>
      </c>
      <c r="M6" s="72"/>
      <c r="N6" s="71" t="s">
        <v>83</v>
      </c>
      <c r="O6" s="70" t="s">
        <v>82</v>
      </c>
      <c r="P6" s="72"/>
      <c r="Q6" s="71" t="s">
        <v>83</v>
      </c>
      <c r="R6" s="87" t="s">
        <v>82</v>
      </c>
      <c r="S6" s="72"/>
      <c r="T6" s="71" t="s">
        <v>83</v>
      </c>
      <c r="V6" s="53" t="s">
        <v>82</v>
      </c>
      <c r="W6" t="s">
        <v>84</v>
      </c>
      <c r="AA6" s="93" t="s">
        <v>85</v>
      </c>
      <c r="AB6" s="93">
        <f>1.375-0.055-0.055</f>
        <v>1.2650000000000001</v>
      </c>
      <c r="AC6" s="93">
        <f>31.275/25.4</f>
        <v>1.2312992125984252</v>
      </c>
      <c r="AD6" s="93">
        <f>18/25.4</f>
        <v>0.70866141732283472</v>
      </c>
      <c r="AF6" s="92"/>
      <c r="AG6" s="92"/>
      <c r="AH6" s="92"/>
    </row>
    <row r="7" spans="1:34" ht="14" thickBot="1" x14ac:dyDescent="0.2">
      <c r="A7" t="s">
        <v>86</v>
      </c>
      <c r="B7" s="140" t="s">
        <v>71</v>
      </c>
      <c r="C7" s="87" t="s">
        <v>87</v>
      </c>
      <c r="D7" s="58">
        <v>50</v>
      </c>
      <c r="E7" s="71" t="s">
        <v>88</v>
      </c>
      <c r="F7" s="70" t="s">
        <v>87</v>
      </c>
      <c r="G7" s="72"/>
      <c r="H7" s="71" t="s">
        <v>88</v>
      </c>
      <c r="I7" s="70" t="s">
        <v>87</v>
      </c>
      <c r="J7" s="72"/>
      <c r="K7" s="71" t="s">
        <v>88</v>
      </c>
      <c r="L7" s="70" t="s">
        <v>87</v>
      </c>
      <c r="M7" s="72"/>
      <c r="N7" s="71" t="s">
        <v>88</v>
      </c>
      <c r="O7" s="70" t="s">
        <v>87</v>
      </c>
      <c r="P7" s="72"/>
      <c r="Q7" s="71" t="s">
        <v>88</v>
      </c>
      <c r="R7" s="87" t="s">
        <v>87</v>
      </c>
      <c r="S7" s="72"/>
      <c r="T7" s="71" t="s">
        <v>88</v>
      </c>
      <c r="V7" s="53" t="s">
        <v>87</v>
      </c>
      <c r="W7" t="s">
        <v>89</v>
      </c>
      <c r="AA7" s="93" t="s">
        <v>90</v>
      </c>
      <c r="AB7" s="93">
        <f>1.625-0.06-0.06</f>
        <v>1.5049999999999999</v>
      </c>
      <c r="AC7" s="93">
        <f>37.5/25.4</f>
        <v>1.4763779527559056</v>
      </c>
      <c r="AD7" s="93">
        <f>22/25.4</f>
        <v>0.86614173228346458</v>
      </c>
      <c r="AF7" s="92"/>
      <c r="AG7" s="92"/>
      <c r="AH7" s="92"/>
    </row>
    <row r="8" spans="1:34" ht="14" thickBot="1" x14ac:dyDescent="0.2">
      <c r="C8" s="79" t="s">
        <v>91</v>
      </c>
      <c r="D8" s="86">
        <v>1.93</v>
      </c>
      <c r="E8" s="80" t="s">
        <v>92</v>
      </c>
      <c r="F8" s="81" t="s">
        <v>91</v>
      </c>
      <c r="G8" s="65">
        <f>$D$8</f>
        <v>1.93</v>
      </c>
      <c r="H8" s="80" t="s">
        <v>92</v>
      </c>
      <c r="I8" s="81" t="s">
        <v>91</v>
      </c>
      <c r="J8" s="65">
        <f>$D$8</f>
        <v>1.93</v>
      </c>
      <c r="K8" s="80" t="s">
        <v>92</v>
      </c>
      <c r="L8" s="81" t="s">
        <v>91</v>
      </c>
      <c r="M8" s="65">
        <f>$D$8</f>
        <v>1.93</v>
      </c>
      <c r="N8" s="80" t="s">
        <v>92</v>
      </c>
      <c r="O8" s="81" t="s">
        <v>91</v>
      </c>
      <c r="P8" s="65">
        <f>$D$8</f>
        <v>1.93</v>
      </c>
      <c r="Q8" s="80" t="s">
        <v>92</v>
      </c>
      <c r="R8" s="142" t="s">
        <v>91</v>
      </c>
      <c r="S8" s="65">
        <f>$D$8</f>
        <v>1.93</v>
      </c>
      <c r="T8" s="80" t="s">
        <v>92</v>
      </c>
      <c r="V8" s="53" t="s">
        <v>91</v>
      </c>
      <c r="W8" t="s">
        <v>93</v>
      </c>
      <c r="AA8" s="93" t="s">
        <v>81</v>
      </c>
      <c r="AB8" s="93">
        <f>2.125-0.07-0.07</f>
        <v>1.9850000000000001</v>
      </c>
      <c r="AC8" s="93">
        <f>50.255/25.4</f>
        <v>1.9785433070866143</v>
      </c>
      <c r="AD8" s="93">
        <f>28.05/25.4</f>
        <v>1.1043307086614174</v>
      </c>
      <c r="AF8" s="92"/>
      <c r="AG8" s="92"/>
      <c r="AH8" s="92"/>
    </row>
    <row r="9" spans="1:34" ht="14" thickBot="1" x14ac:dyDescent="0.2">
      <c r="F9" s="54"/>
      <c r="G9" s="48"/>
      <c r="H9" s="55"/>
      <c r="I9" s="54"/>
      <c r="J9" s="48"/>
      <c r="K9" s="55"/>
      <c r="L9" s="89" t="s">
        <v>94</v>
      </c>
      <c r="M9" s="82">
        <v>24</v>
      </c>
      <c r="N9" s="90" t="s">
        <v>40</v>
      </c>
      <c r="O9" s="89" t="s">
        <v>94</v>
      </c>
      <c r="P9" s="83">
        <f>M9</f>
        <v>24</v>
      </c>
      <c r="Q9" s="90" t="s">
        <v>40</v>
      </c>
      <c r="R9" s="54"/>
      <c r="S9" s="48"/>
      <c r="T9" s="55"/>
      <c r="U9" s="5"/>
      <c r="AF9" s="92"/>
      <c r="AG9" s="92"/>
      <c r="AH9" s="92"/>
    </row>
    <row r="10" spans="1:34" ht="14" thickBot="1" x14ac:dyDescent="0.2">
      <c r="J10" s="5"/>
      <c r="M10" s="61"/>
      <c r="N10" s="5"/>
      <c r="P10" s="91"/>
      <c r="Q10" s="5"/>
      <c r="S10" s="5"/>
      <c r="AF10" s="92"/>
      <c r="AG10" s="92"/>
      <c r="AH10" s="92"/>
    </row>
    <row r="11" spans="1:34" x14ac:dyDescent="0.15">
      <c r="B11" s="4"/>
      <c r="C11" s="73" t="s">
        <v>68</v>
      </c>
      <c r="D11" s="84">
        <f>D3</f>
        <v>37</v>
      </c>
      <c r="E11" s="75" t="s">
        <v>69</v>
      </c>
      <c r="F11" s="76" t="s">
        <v>68</v>
      </c>
      <c r="G11" s="84">
        <f>D11-M11</f>
        <v>34.963086475955848</v>
      </c>
      <c r="H11" s="75" t="s">
        <v>69</v>
      </c>
      <c r="I11" s="76" t="s">
        <v>68</v>
      </c>
      <c r="J11" s="84">
        <f>G11</f>
        <v>34.963086475955848</v>
      </c>
      <c r="K11" s="75" t="s">
        <v>69</v>
      </c>
      <c r="L11" s="76" t="s">
        <v>68</v>
      </c>
      <c r="M11" s="151">
        <v>2.0369135240441549</v>
      </c>
      <c r="N11" s="75" t="s">
        <v>69</v>
      </c>
      <c r="O11" s="76" t="s">
        <v>68</v>
      </c>
      <c r="P11" s="84">
        <f>M11</f>
        <v>2.0369135240441549</v>
      </c>
      <c r="Q11" s="75" t="s">
        <v>69</v>
      </c>
      <c r="R11" s="141" t="s">
        <v>68</v>
      </c>
      <c r="S11" s="88">
        <f>D11</f>
        <v>37</v>
      </c>
      <c r="T11" s="75" t="s">
        <v>69</v>
      </c>
      <c r="AF11" s="92"/>
      <c r="AG11" s="92"/>
      <c r="AH11" s="92"/>
    </row>
    <row r="12" spans="1:34" x14ac:dyDescent="0.15">
      <c r="B12" s="48"/>
      <c r="C12" s="78" t="s">
        <v>73</v>
      </c>
      <c r="D12" s="31">
        <f>D4</f>
        <v>1.9850000000000001</v>
      </c>
      <c r="E12" s="71" t="s">
        <v>32</v>
      </c>
      <c r="F12" s="70" t="s">
        <v>73</v>
      </c>
      <c r="G12" s="31">
        <f>G4</f>
        <v>1.9785433070866143</v>
      </c>
      <c r="H12" s="71" t="s">
        <v>32</v>
      </c>
      <c r="I12" s="70" t="s">
        <v>73</v>
      </c>
      <c r="J12" s="31">
        <f>J4</f>
        <v>1.1043307086614174</v>
      </c>
      <c r="K12" s="71" t="s">
        <v>32</v>
      </c>
      <c r="L12" s="70" t="s">
        <v>73</v>
      </c>
      <c r="M12" s="31">
        <f>M4</f>
        <v>0.54499999999999993</v>
      </c>
      <c r="N12" s="71" t="s">
        <v>32</v>
      </c>
      <c r="O12" s="70" t="s">
        <v>73</v>
      </c>
      <c r="P12" s="31">
        <f>P4</f>
        <v>0.54499999999999993</v>
      </c>
      <c r="Q12" s="71" t="s">
        <v>32</v>
      </c>
      <c r="R12" s="87" t="s">
        <v>73</v>
      </c>
      <c r="S12" s="31">
        <f t="shared" ref="S12:S16" si="0">D12</f>
        <v>1.9850000000000001</v>
      </c>
      <c r="T12" s="71" t="s">
        <v>32</v>
      </c>
      <c r="W12" s="5"/>
      <c r="Z12" s="1"/>
    </row>
    <row r="13" spans="1:34" x14ac:dyDescent="0.15">
      <c r="B13" s="4"/>
      <c r="C13" s="78" t="s">
        <v>76</v>
      </c>
      <c r="D13" s="31">
        <f>PI()*D12^2/4</f>
        <v>3.0946454783727111</v>
      </c>
      <c r="E13" s="71" t="s">
        <v>77</v>
      </c>
      <c r="F13" s="70" t="s">
        <v>76</v>
      </c>
      <c r="G13" s="31">
        <f>PI()*G12^2/4</f>
        <v>3.0745460539646459</v>
      </c>
      <c r="H13" s="71" t="s">
        <v>77</v>
      </c>
      <c r="I13" s="70" t="s">
        <v>76</v>
      </c>
      <c r="J13" s="31">
        <f>PI()*J12^2/4</f>
        <v>0.9578294352664779</v>
      </c>
      <c r="K13" s="71" t="s">
        <v>77</v>
      </c>
      <c r="L13" s="70" t="s">
        <v>76</v>
      </c>
      <c r="M13" s="31">
        <f>PI()*M12^2/4</f>
        <v>0.23328288948312703</v>
      </c>
      <c r="N13" s="71" t="s">
        <v>77</v>
      </c>
      <c r="O13" s="70" t="s">
        <v>76</v>
      </c>
      <c r="P13" s="31">
        <f>PI()*P12^2/4</f>
        <v>0.23328288948312703</v>
      </c>
      <c r="Q13" s="71" t="s">
        <v>77</v>
      </c>
      <c r="R13" s="87" t="s">
        <v>76</v>
      </c>
      <c r="S13" s="31">
        <f t="shared" si="0"/>
        <v>3.0946454783727111</v>
      </c>
      <c r="T13" s="71" t="s">
        <v>77</v>
      </c>
    </row>
    <row r="14" spans="1:34" ht="14" thickBot="1" x14ac:dyDescent="0.2">
      <c r="C14" s="78" t="s">
        <v>82</v>
      </c>
      <c r="D14" s="31">
        <f>D11/D13*144/7.48/60</f>
        <v>3.8361931397238069</v>
      </c>
      <c r="E14" s="71" t="s">
        <v>83</v>
      </c>
      <c r="F14" s="70" t="s">
        <v>82</v>
      </c>
      <c r="G14" s="31">
        <f>G11/G13*144/7.48/60</f>
        <v>3.648702089903757</v>
      </c>
      <c r="H14" s="71" t="s">
        <v>83</v>
      </c>
      <c r="I14" s="70" t="s">
        <v>82</v>
      </c>
      <c r="J14" s="31">
        <f>J11/J13*144/7.48/60</f>
        <v>11.712004454618961</v>
      </c>
      <c r="K14" s="71" t="s">
        <v>83</v>
      </c>
      <c r="L14" s="70" t="s">
        <v>82</v>
      </c>
      <c r="M14" s="31">
        <f>M11/M13*144/7.48/60</f>
        <v>2.8015562686684405</v>
      </c>
      <c r="N14" s="71" t="s">
        <v>83</v>
      </c>
      <c r="O14" s="70" t="s">
        <v>82</v>
      </c>
      <c r="P14" s="31">
        <f>P11/P13*144/7.48/60</f>
        <v>2.8015562686684405</v>
      </c>
      <c r="Q14" s="71" t="s">
        <v>83</v>
      </c>
      <c r="R14" s="87" t="s">
        <v>82</v>
      </c>
      <c r="S14" s="31">
        <f t="shared" si="0"/>
        <v>3.8361931397238069</v>
      </c>
      <c r="T14" s="71" t="s">
        <v>83</v>
      </c>
    </row>
    <row r="15" spans="1:34" ht="14" thickBot="1" x14ac:dyDescent="0.2">
      <c r="C15" s="78" t="s">
        <v>87</v>
      </c>
      <c r="D15" s="31">
        <f t="shared" ref="D15:D16" si="1">D7</f>
        <v>50</v>
      </c>
      <c r="E15" s="71" t="s">
        <v>88</v>
      </c>
      <c r="F15" s="70" t="s">
        <v>87</v>
      </c>
      <c r="G15" s="31">
        <f>D15</f>
        <v>50</v>
      </c>
      <c r="H15" s="71" t="s">
        <v>88</v>
      </c>
      <c r="I15" s="70" t="s">
        <v>87</v>
      </c>
      <c r="J15" s="31">
        <f>G15+(G16/2/144*G14^2)-(J16/2/144*J14^2)</f>
        <v>49.169979231562493</v>
      </c>
      <c r="K15" s="71" t="s">
        <v>88</v>
      </c>
      <c r="L15" s="70" t="s">
        <v>87</v>
      </c>
      <c r="M15" s="31">
        <f>D15</f>
        <v>50</v>
      </c>
      <c r="N15" s="71" t="s">
        <v>88</v>
      </c>
      <c r="O15" s="70" t="s">
        <v>87</v>
      </c>
      <c r="P15" s="31">
        <f>(M15-4.52*P9*POWER(P11,1.85)/POWER(140,1.85)/POWER(P12,4.8655))</f>
        <v>49.169814921383896</v>
      </c>
      <c r="Q15" s="71" t="s">
        <v>88</v>
      </c>
      <c r="R15" s="70" t="s">
        <v>87</v>
      </c>
      <c r="S15" s="31">
        <f>LARGE(J15:P15,2)</f>
        <v>49.169979231562493</v>
      </c>
      <c r="T15" s="71" t="s">
        <v>88</v>
      </c>
      <c r="V15" t="s">
        <v>95</v>
      </c>
      <c r="W15" s="149">
        <f>P15-J15</f>
        <v>-1.6431017859730446E-4</v>
      </c>
    </row>
    <row r="16" spans="1:34" ht="14" thickBot="1" x14ac:dyDescent="0.2">
      <c r="C16" s="79" t="s">
        <v>91</v>
      </c>
      <c r="D16" s="65">
        <f t="shared" si="1"/>
        <v>1.93</v>
      </c>
      <c r="E16" s="80" t="s">
        <v>92</v>
      </c>
      <c r="F16" s="81" t="s">
        <v>91</v>
      </c>
      <c r="G16" s="65">
        <f>G8</f>
        <v>1.93</v>
      </c>
      <c r="H16" s="80" t="s">
        <v>92</v>
      </c>
      <c r="I16" s="81" t="s">
        <v>91</v>
      </c>
      <c r="J16" s="65">
        <f>J8</f>
        <v>1.93</v>
      </c>
      <c r="K16" s="80" t="s">
        <v>92</v>
      </c>
      <c r="L16" s="81" t="s">
        <v>91</v>
      </c>
      <c r="M16" s="65">
        <f>M8</f>
        <v>1.93</v>
      </c>
      <c r="N16" s="80" t="s">
        <v>92</v>
      </c>
      <c r="O16" s="81" t="s">
        <v>91</v>
      </c>
      <c r="P16" s="65">
        <f>P8</f>
        <v>1.93</v>
      </c>
      <c r="Q16" s="80" t="s">
        <v>92</v>
      </c>
      <c r="R16" s="142" t="s">
        <v>91</v>
      </c>
      <c r="S16" s="31">
        <f t="shared" si="0"/>
        <v>1.93</v>
      </c>
      <c r="T16" s="80" t="s">
        <v>92</v>
      </c>
    </row>
    <row r="17" spans="1:10" ht="14" thickBot="1" x14ac:dyDescent="0.2">
      <c r="F17" s="56"/>
    </row>
    <row r="18" spans="1:10" x14ac:dyDescent="0.15">
      <c r="A18" s="57" t="s">
        <v>96</v>
      </c>
      <c r="I18" s="118"/>
      <c r="J18" s="5" t="s">
        <v>36</v>
      </c>
    </row>
    <row r="19" spans="1:10" x14ac:dyDescent="0.15">
      <c r="B19" t="s">
        <v>115</v>
      </c>
      <c r="I19" s="119"/>
      <c r="J19" s="5" t="s">
        <v>37</v>
      </c>
    </row>
    <row r="20" spans="1:10" ht="14" thickBot="1" x14ac:dyDescent="0.2">
      <c r="B20" t="s">
        <v>97</v>
      </c>
      <c r="I20" s="144"/>
      <c r="J20" s="5" t="s">
        <v>38</v>
      </c>
    </row>
    <row r="21" spans="1:10" x14ac:dyDescent="0.15">
      <c r="B21" t="s">
        <v>98</v>
      </c>
    </row>
    <row r="22" spans="1:10" x14ac:dyDescent="0.15">
      <c r="B22" t="s">
        <v>99</v>
      </c>
    </row>
    <row r="23" spans="1:10" x14ac:dyDescent="0.15">
      <c r="B23" t="s">
        <v>111</v>
      </c>
    </row>
    <row r="24" spans="1:10" x14ac:dyDescent="0.15">
      <c r="B24" t="s">
        <v>100</v>
      </c>
    </row>
    <row r="25" spans="1:10" x14ac:dyDescent="0.15">
      <c r="B25" t="s">
        <v>101</v>
      </c>
    </row>
    <row r="26" spans="1:10" x14ac:dyDescent="0.15">
      <c r="B26" t="s">
        <v>102</v>
      </c>
    </row>
    <row r="27" spans="1:10" x14ac:dyDescent="0.15">
      <c r="B27" t="s">
        <v>103</v>
      </c>
    </row>
    <row r="28" spans="1:10" x14ac:dyDescent="0.15">
      <c r="B28" t="s">
        <v>104</v>
      </c>
    </row>
    <row r="29" spans="1:10" x14ac:dyDescent="0.15">
      <c r="B29" t="s">
        <v>105</v>
      </c>
    </row>
    <row r="30" spans="1:10" x14ac:dyDescent="0.15">
      <c r="G30" s="5"/>
    </row>
    <row r="31" spans="1:10" x14ac:dyDescent="0.15">
      <c r="A31" s="159" t="s">
        <v>106</v>
      </c>
      <c r="B31" s="159"/>
      <c r="C31" s="159"/>
    </row>
    <row r="32" spans="1:10" x14ac:dyDescent="0.15">
      <c r="A32" s="85"/>
      <c r="B32" t="s">
        <v>116</v>
      </c>
    </row>
    <row r="33" spans="2:20" x14ac:dyDescent="0.15">
      <c r="B33" t="s">
        <v>112</v>
      </c>
    </row>
    <row r="34" spans="2:20" x14ac:dyDescent="0.15">
      <c r="B34" t="s">
        <v>107</v>
      </c>
    </row>
    <row r="35" spans="2:20" x14ac:dyDescent="0.15">
      <c r="B35" t="s">
        <v>108</v>
      </c>
    </row>
    <row r="36" spans="2:20" x14ac:dyDescent="0.15">
      <c r="C36" t="s">
        <v>113</v>
      </c>
      <c r="T36" s="5"/>
    </row>
    <row r="37" spans="2:20" x14ac:dyDescent="0.15">
      <c r="C37" t="s">
        <v>109</v>
      </c>
    </row>
    <row r="38" spans="2:20" x14ac:dyDescent="0.15">
      <c r="C38" t="s">
        <v>114</v>
      </c>
    </row>
    <row r="39" spans="2:20" x14ac:dyDescent="0.15">
      <c r="B39" t="s">
        <v>117</v>
      </c>
    </row>
    <row r="40" spans="2:20" x14ac:dyDescent="0.15">
      <c r="C40" t="s">
        <v>118</v>
      </c>
    </row>
    <row r="41" spans="2:20" x14ac:dyDescent="0.15"/>
    <row r="42" spans="2:20" hidden="1" x14ac:dyDescent="0.15"/>
    <row r="43" spans="2:20" hidden="1" x14ac:dyDescent="0.15"/>
    <row r="44" spans="2:20" hidden="1" x14ac:dyDescent="0.15"/>
  </sheetData>
  <sheetProtection sheet="1" objects="1" scenarios="1"/>
  <mergeCells count="1">
    <mergeCell ref="A31:C31"/>
  </mergeCells>
  <conditionalFormatting sqref="M14 D14">
    <cfRule type="cellIs" dxfId="1" priority="1" operator="greaterThan">
      <formula>4</formula>
    </cfRule>
  </conditionalFormatting>
  <dataValidations count="2">
    <dataValidation type="list" allowBlank="1" showInputMessage="1" showErrorMessage="1" sqref="B7">
      <formula1>$AA$3:$AA$4</formula1>
    </dataValidation>
    <dataValidation type="list" allowBlank="1" showInputMessage="1" showErrorMessage="1" sqref="B6">
      <formula1>$AA$6:$AA$8</formula1>
    </dataValidation>
  </dataValidation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showGridLines="0" workbookViewId="0">
      <selection activeCell="E10" sqref="E10"/>
    </sheetView>
  </sheetViews>
  <sheetFormatPr baseColWidth="10" defaultColWidth="0" defaultRowHeight="12.75" customHeight="1" zeroHeight="1" x14ac:dyDescent="0.15"/>
  <cols>
    <col min="1" max="14" width="9.1640625" style="5" customWidth="1"/>
    <col min="15" max="16384" width="9.1640625" style="5" hidden="1"/>
  </cols>
  <sheetData>
    <row r="1" spans="2:21" ht="13" x14ac:dyDescent="0.15"/>
    <row r="2" spans="2:21" ht="13" x14ac:dyDescent="0.15">
      <c r="U2" s="19">
        <v>0.5</v>
      </c>
    </row>
    <row r="3" spans="2:21" ht="13" x14ac:dyDescent="0.15">
      <c r="B3" s="5" t="s">
        <v>25</v>
      </c>
      <c r="U3" s="19">
        <v>0.75</v>
      </c>
    </row>
    <row r="4" spans="2:21" ht="13" x14ac:dyDescent="0.15">
      <c r="B4" s="5" t="s">
        <v>26</v>
      </c>
      <c r="U4" s="19">
        <v>1</v>
      </c>
    </row>
    <row r="5" spans="2:21" ht="13" x14ac:dyDescent="0.15">
      <c r="B5" s="5">
        <v>1</v>
      </c>
      <c r="C5" s="1" t="s">
        <v>27</v>
      </c>
      <c r="U5" s="19">
        <v>1.25</v>
      </c>
    </row>
    <row r="6" spans="2:21" ht="13" x14ac:dyDescent="0.15">
      <c r="B6" s="5">
        <v>2</v>
      </c>
      <c r="C6" s="1" t="s">
        <v>28</v>
      </c>
      <c r="U6" s="19">
        <v>1.5</v>
      </c>
    </row>
    <row r="7" spans="2:21" ht="13" x14ac:dyDescent="0.15">
      <c r="B7" s="5">
        <v>3</v>
      </c>
      <c r="C7" s="1" t="s">
        <v>29</v>
      </c>
      <c r="U7" s="19">
        <v>2</v>
      </c>
    </row>
    <row r="8" spans="2:21" ht="13" x14ac:dyDescent="0.15">
      <c r="B8" s="4">
        <v>4</v>
      </c>
      <c r="C8" s="1" t="s">
        <v>30</v>
      </c>
      <c r="U8" s="19">
        <v>2.5</v>
      </c>
    </row>
    <row r="9" spans="2:21" ht="14" thickBot="1" x14ac:dyDescent="0.2">
      <c r="U9" s="19">
        <v>3</v>
      </c>
    </row>
    <row r="10" spans="2:21" ht="14" thickBot="1" x14ac:dyDescent="0.2">
      <c r="D10" s="20" t="s">
        <v>31</v>
      </c>
      <c r="E10" s="21">
        <v>0.5</v>
      </c>
      <c r="F10" s="22" t="s">
        <v>32</v>
      </c>
      <c r="G10" s="23"/>
      <c r="U10" s="19">
        <v>3.5</v>
      </c>
    </row>
    <row r="11" spans="2:21" ht="12.75" customHeight="1" x14ac:dyDescent="0.15">
      <c r="B11" s="164" t="s">
        <v>33</v>
      </c>
      <c r="C11" s="165"/>
      <c r="D11" s="59"/>
      <c r="E11" s="24"/>
      <c r="F11" s="25"/>
      <c r="U11" s="19">
        <v>4</v>
      </c>
    </row>
    <row r="12" spans="2:21" ht="14" thickBot="1" x14ac:dyDescent="0.2">
      <c r="B12" s="166"/>
      <c r="C12" s="167"/>
      <c r="D12" s="26" t="s">
        <v>34</v>
      </c>
      <c r="E12" s="168" t="s">
        <v>35</v>
      </c>
      <c r="F12" s="169"/>
    </row>
    <row r="13" spans="2:21" ht="14" thickBot="1" x14ac:dyDescent="0.2">
      <c r="B13" s="170" t="s">
        <v>16</v>
      </c>
      <c r="C13" s="171"/>
      <c r="D13" s="27">
        <v>5</v>
      </c>
      <c r="E13" s="28">
        <f>HLOOKUP(pipe,wsfuGPM!$I$13:$R$22,2,FALSE)</f>
        <v>1</v>
      </c>
      <c r="F13" s="29">
        <f t="shared" ref="F13:F21" si="0">E13*D13</f>
        <v>5</v>
      </c>
      <c r="J13" s="4"/>
      <c r="K13" s="4"/>
    </row>
    <row r="14" spans="2:21" ht="13" x14ac:dyDescent="0.15">
      <c r="B14" s="172" t="s">
        <v>17</v>
      </c>
      <c r="C14" s="173"/>
      <c r="D14" s="27"/>
      <c r="E14" s="28">
        <f>HLOOKUP(pipe,wsfuGPM!$I$13:$R$22,3,FALSE)</f>
        <v>0.5</v>
      </c>
      <c r="F14" s="29">
        <f t="shared" si="0"/>
        <v>0</v>
      </c>
      <c r="I14" s="30"/>
      <c r="J14" s="143"/>
      <c r="K14" s="5" t="s">
        <v>36</v>
      </c>
      <c r="L14" s="30"/>
    </row>
    <row r="15" spans="2:21" ht="13" x14ac:dyDescent="0.15">
      <c r="B15" s="174" t="s">
        <v>18</v>
      </c>
      <c r="C15" s="175"/>
      <c r="D15" s="27"/>
      <c r="E15" s="28">
        <f>HLOOKUP(pipe,wsfuGPM!$I$13:$R$22,4,FALSE)</f>
        <v>2</v>
      </c>
      <c r="F15" s="29">
        <f t="shared" si="0"/>
        <v>0</v>
      </c>
      <c r="I15" s="30"/>
      <c r="J15" s="119"/>
      <c r="K15" s="5" t="s">
        <v>37</v>
      </c>
      <c r="L15" s="30"/>
    </row>
    <row r="16" spans="2:21" ht="14" thickBot="1" x14ac:dyDescent="0.2">
      <c r="B16" s="174" t="s">
        <v>19</v>
      </c>
      <c r="C16" s="175"/>
      <c r="D16" s="27"/>
      <c r="E16" s="28">
        <f>HLOOKUP(pipe,wsfuGPM!$I$13:$R$22,5,FALSE)</f>
        <v>0</v>
      </c>
      <c r="F16" s="29">
        <f t="shared" si="0"/>
        <v>0</v>
      </c>
      <c r="J16" s="144"/>
      <c r="K16" s="5" t="s">
        <v>38</v>
      </c>
    </row>
    <row r="17" spans="2:7" ht="13" x14ac:dyDescent="0.15">
      <c r="B17" s="174" t="s">
        <v>20</v>
      </c>
      <c r="C17" s="175"/>
      <c r="D17" s="27"/>
      <c r="E17" s="28">
        <f>HLOOKUP(pipe,wsfuGPM!$I$13:$R$22,6,FALSE)</f>
        <v>0</v>
      </c>
      <c r="F17" s="29">
        <f t="shared" si="0"/>
        <v>0</v>
      </c>
    </row>
    <row r="18" spans="2:7" ht="13" x14ac:dyDescent="0.15">
      <c r="B18" s="176" t="s">
        <v>21</v>
      </c>
      <c r="C18" s="177"/>
      <c r="D18" s="27"/>
      <c r="E18" s="28">
        <f>HLOOKUP(pipe,wsfuGPM!$I$13:$R$22,7,FALSE)</f>
        <v>0</v>
      </c>
      <c r="F18" s="29">
        <f t="shared" si="0"/>
        <v>0</v>
      </c>
    </row>
    <row r="19" spans="2:7" ht="13" x14ac:dyDescent="0.15">
      <c r="B19" s="176" t="s">
        <v>22</v>
      </c>
      <c r="C19" s="177"/>
      <c r="D19" s="27"/>
      <c r="E19" s="28">
        <f>HLOOKUP(pipe,wsfuGPM!$I$13:$R$22,8,FALSE)</f>
        <v>0</v>
      </c>
      <c r="F19" s="29">
        <f t="shared" si="0"/>
        <v>0</v>
      </c>
    </row>
    <row r="20" spans="2:7" ht="13" x14ac:dyDescent="0.15">
      <c r="B20" s="178" t="s">
        <v>23</v>
      </c>
      <c r="C20" s="171"/>
      <c r="D20" s="27"/>
      <c r="E20" s="28">
        <f>HLOOKUP(pipe,wsfuGPM!$I$13:$R$22,9,FALSE)</f>
        <v>0</v>
      </c>
      <c r="F20" s="29">
        <f t="shared" si="0"/>
        <v>0</v>
      </c>
    </row>
    <row r="21" spans="2:7" ht="13" x14ac:dyDescent="0.15">
      <c r="B21" s="172" t="s">
        <v>24</v>
      </c>
      <c r="C21" s="173"/>
      <c r="D21" s="27"/>
      <c r="E21" s="28">
        <f>HLOOKUP(pipe,wsfuGPM!$I$13:$R$22,10,FALSE)</f>
        <v>2.5</v>
      </c>
      <c r="F21" s="29">
        <f t="shared" si="0"/>
        <v>0</v>
      </c>
    </row>
    <row r="22" spans="2:7" ht="13" x14ac:dyDescent="0.15">
      <c r="B22" s="160" t="s">
        <v>39</v>
      </c>
      <c r="C22" s="161"/>
      <c r="D22" s="32"/>
      <c r="E22" s="33"/>
      <c r="F22" s="34"/>
    </row>
    <row r="23" spans="2:7" ht="14" thickBot="1" x14ac:dyDescent="0.2">
      <c r="B23" s="162"/>
      <c r="C23" s="163"/>
      <c r="D23" s="35"/>
      <c r="E23" s="36"/>
      <c r="F23" s="150">
        <f>SUM(F13:F21)</f>
        <v>5</v>
      </c>
      <c r="G23" s="5" t="s">
        <v>40</v>
      </c>
    </row>
    <row r="24" spans="2:7" ht="13" x14ac:dyDescent="0.15"/>
    <row r="25" spans="2:7" ht="13" x14ac:dyDescent="0.15"/>
    <row r="26" spans="2:7" ht="13" x14ac:dyDescent="0.15"/>
    <row r="27" spans="2:7" ht="13" x14ac:dyDescent="0.15"/>
    <row r="28" spans="2:7" ht="13" x14ac:dyDescent="0.15"/>
    <row r="29" spans="2:7" ht="13" x14ac:dyDescent="0.15"/>
    <row r="30" spans="2:7" ht="13" x14ac:dyDescent="0.15"/>
    <row r="31" spans="2:7" ht="13" x14ac:dyDescent="0.15"/>
    <row r="32" spans="2:7" ht="13" x14ac:dyDescent="0.15"/>
    <row r="33" ht="13" x14ac:dyDescent="0.15"/>
    <row r="34" ht="13" x14ac:dyDescent="0.15"/>
    <row r="35" ht="13" x14ac:dyDescent="0.15"/>
    <row r="36" ht="13" x14ac:dyDescent="0.15"/>
  </sheetData>
  <sheetProtection sheet="1" objects="1" scenarios="1"/>
  <mergeCells count="12">
    <mergeCell ref="B22:C23"/>
    <mergeCell ref="B11:C12"/>
    <mergeCell ref="E12:F12"/>
    <mergeCell ref="B13:C13"/>
    <mergeCell ref="B14:C14"/>
    <mergeCell ref="B15:C15"/>
    <mergeCell ref="B16:C16"/>
    <mergeCell ref="B17:C17"/>
    <mergeCell ref="B18:C18"/>
    <mergeCell ref="B19:C19"/>
    <mergeCell ref="B20:C20"/>
    <mergeCell ref="B21:C21"/>
  </mergeCells>
  <conditionalFormatting sqref="E13:F21">
    <cfRule type="cellIs" dxfId="0" priority="1" stopIfTrue="1" operator="equal">
      <formula>0</formula>
    </cfRule>
  </conditionalFormatting>
  <dataValidations count="1">
    <dataValidation type="list" allowBlank="1" showInputMessage="1" showErrorMessage="1" sqref="E10">
      <formula1>$U$2:$U$3</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Series</vt:lpstr>
      <vt:lpstr>Ring</vt:lpstr>
      <vt:lpstr>wsfuGPM</vt:lpstr>
      <vt:lpstr>Venturi</vt:lpstr>
      <vt:lpstr>EquivLength</vt:lpstr>
    </vt:vector>
  </TitlesOfParts>
  <Company>Viega GmbH &amp; Co. KG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cusickev</dc:creator>
  <cp:lastModifiedBy>Microsoft Office User</cp:lastModifiedBy>
  <dcterms:created xsi:type="dcterms:W3CDTF">2014-02-24T15:29:11Z</dcterms:created>
  <dcterms:modified xsi:type="dcterms:W3CDTF">2017-07-17T18:21:05Z</dcterms:modified>
</cp:coreProperties>
</file>